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00" yWindow="-210" windowWidth="19320" windowHeight="10920"/>
  </bookViews>
  <sheets>
    <sheet name="ИП 22-24 (2)" sheetId="9" r:id="rId1"/>
    <sheet name="ИП 22-24" sheetId="8" r:id="rId2"/>
  </sheets>
  <definedNames>
    <definedName name="EEE">"$#ССЫЛ!.$A$1:$T$51"</definedName>
    <definedName name="Excel_BuiltIn__FilterDatabase_4">"$#ССЫЛ!.$A$59:$O$138"</definedName>
    <definedName name="Excel_BuiltIn__FilterDatabase_4_3" localSheetId="1">#REF!</definedName>
    <definedName name="Excel_BuiltIn__FilterDatabase_4_3" localSheetId="0">#REF!</definedName>
    <definedName name="Excel_BuiltIn__FilterDatabase_4_3">#REF!</definedName>
    <definedName name="Excel_BuiltIn_Print_Area_1">"$#ССЫЛ!.$A$1:$T$51"</definedName>
    <definedName name="Excel_BuiltIn_Print_Area_10">"$#ССЫЛ!.$A$1:$T$108"</definedName>
    <definedName name="Excel_BuiltIn_Print_Area_12">"$#ССЫЛ!.$A$1:$T$54"</definedName>
    <definedName name="Excel_BuiltIn_Print_Area_12_3">"$#ССЫЛ!.$A$1:$T$55"</definedName>
    <definedName name="Excel_BuiltIn_Print_Area_15">"$#ССЫЛ!.$A$1:$T$51"</definedName>
    <definedName name="Excel_BuiltIn_Print_Area_2">"$#ССЫЛ!.$A$1:$T$49"</definedName>
    <definedName name="Excel_BuiltIn_Print_Area_3">"$#ССЫЛ!.$A$1:$T$8"</definedName>
    <definedName name="Excel_BuiltIn_Print_Area_4">"$#ССЫЛ!.$A$1:$N$58"</definedName>
    <definedName name="Excel_BuiltIn_Print_Area_4_3" localSheetId="1">#REF!</definedName>
    <definedName name="Excel_BuiltIn_Print_Area_4_3" localSheetId="0">#REF!</definedName>
    <definedName name="Excel_BuiltIn_Print_Area_4_3">#REF!</definedName>
    <definedName name="Excel_BuiltIn_Print_Area_8">"$#ССЫЛ!.$A$1:$T$80"</definedName>
    <definedName name="Excel_BuiltIn_Print_Area_9">"$#ССЫЛ!.$A$1:$T$41"</definedName>
    <definedName name="Excel_BuiltIn_Print_Titles_1">"$#ССЫЛ!.$A$7:$IV$9"</definedName>
    <definedName name="Excel_BuiltIn_Print_Titles_1_1">"$#ССЫЛ!.$A$7:$IV$9"</definedName>
    <definedName name="Excel_BuiltIn_Print_Titles_12">"$#ССЫЛ!.$A$2:$IV$5"</definedName>
    <definedName name="Excel_BuiltIn_Print_Titles_15">"$#ССЫЛ!.$A$7:$IV$9"</definedName>
    <definedName name="Excel_BuiltIn_Print_Titles_2">"$#ССЫЛ!.$A$6:$IV$8"</definedName>
    <definedName name="Excel_BuiltIn_Print_Titles_3">"$'Лист согласования'.$#ССЫЛ!$#ССЫЛ!:$#ССЫЛ!$#ССЫЛ!"</definedName>
    <definedName name="_xlnm.Print_Area" localSheetId="1">'ИП 22-24'!$A$1:$Y$44</definedName>
    <definedName name="_xlnm.Print_Area" localSheetId="0">'ИП 22-24 (2)'!$A$1:$Y$26</definedName>
  </definedNames>
  <calcPr calcId="145621" iterateDelta="1E-4"/>
</workbook>
</file>

<file path=xl/calcChain.xml><?xml version="1.0" encoding="utf-8"?>
<calcChain xmlns="http://schemas.openxmlformats.org/spreadsheetml/2006/main">
  <c r="AB26" i="9" l="1"/>
  <c r="AB25" i="9"/>
  <c r="Z31" i="9" l="1"/>
  <c r="Z32" i="9" l="1"/>
  <c r="D18" i="9" l="1"/>
  <c r="D31" i="9" l="1"/>
  <c r="D32" i="9" s="1"/>
  <c r="D13" i="9" l="1"/>
  <c r="D11" i="9"/>
  <c r="D12" i="9" l="1"/>
  <c r="D23" i="9"/>
  <c r="D21" i="9"/>
  <c r="D17" i="9"/>
  <c r="V17" i="9" l="1"/>
  <c r="Y17" i="9" s="1"/>
  <c r="W26" i="9"/>
  <c r="N26" i="9"/>
  <c r="G26" i="9"/>
  <c r="W25" i="9"/>
  <c r="W24" i="9" s="1"/>
  <c r="O25" i="9"/>
  <c r="I25" i="9"/>
  <c r="R23" i="9"/>
  <c r="K23" i="9"/>
  <c r="W22" i="9"/>
  <c r="T22" i="9"/>
  <c r="P22" i="9"/>
  <c r="N22" i="9"/>
  <c r="M22" i="9"/>
  <c r="L22" i="9"/>
  <c r="I22" i="9"/>
  <c r="G22" i="9"/>
  <c r="F22" i="9"/>
  <c r="Y21" i="9"/>
  <c r="K21" i="9"/>
  <c r="J21" i="9" s="1"/>
  <c r="V20" i="9"/>
  <c r="U20" i="9"/>
  <c r="T20" i="9"/>
  <c r="O20" i="9"/>
  <c r="N20" i="9"/>
  <c r="M20" i="9"/>
  <c r="H20" i="9"/>
  <c r="G20" i="9"/>
  <c r="F20" i="9"/>
  <c r="R17" i="9"/>
  <c r="H17" i="9"/>
  <c r="Y19" i="9"/>
  <c r="D19" i="9"/>
  <c r="Y18" i="9"/>
  <c r="Y16" i="9"/>
  <c r="K16" i="9"/>
  <c r="D16" i="9"/>
  <c r="D15" i="9"/>
  <c r="H15" i="9" s="1"/>
  <c r="K15" i="9" s="1"/>
  <c r="W14" i="9"/>
  <c r="U14" i="9"/>
  <c r="T14" i="9"/>
  <c r="P14" i="9"/>
  <c r="N14" i="9"/>
  <c r="M14" i="9"/>
  <c r="G14" i="9"/>
  <c r="F14" i="9"/>
  <c r="Y13" i="9"/>
  <c r="K11" i="9"/>
  <c r="D10" i="9"/>
  <c r="H10" i="9" s="1"/>
  <c r="K10" i="9" s="1"/>
  <c r="J10" i="9" s="1"/>
  <c r="D9" i="9"/>
  <c r="D8" i="9"/>
  <c r="W7" i="9"/>
  <c r="T7" i="9"/>
  <c r="I7" i="9"/>
  <c r="F7" i="9"/>
  <c r="O16" i="9" l="1"/>
  <c r="R16" i="9" s="1"/>
  <c r="Q16" i="9" s="1"/>
  <c r="O18" i="9"/>
  <c r="R18" i="9" s="1"/>
  <c r="Q18" i="9" s="1"/>
  <c r="M26" i="9"/>
  <c r="Q23" i="9"/>
  <c r="O26" i="9"/>
  <c r="O24" i="9" s="1"/>
  <c r="N9" i="9"/>
  <c r="P21" i="9"/>
  <c r="P20" i="9" s="1"/>
  <c r="M25" i="9"/>
  <c r="P26" i="9"/>
  <c r="O19" i="9"/>
  <c r="R19" i="9" s="1"/>
  <c r="Q19" i="9" s="1"/>
  <c r="R24" i="9"/>
  <c r="G9" i="9"/>
  <c r="Y24" i="9"/>
  <c r="T25" i="9"/>
  <c r="H19" i="9"/>
  <c r="K19" i="9" s="1"/>
  <c r="J19" i="9" s="1"/>
  <c r="N8" i="9"/>
  <c r="V25" i="9"/>
  <c r="P25" i="9"/>
  <c r="G8" i="9"/>
  <c r="T26" i="9"/>
  <c r="F26" i="9"/>
  <c r="V10" i="9"/>
  <c r="Y10" i="9" s="1"/>
  <c r="X10" i="9" s="1"/>
  <c r="V12" i="9"/>
  <c r="Y12" i="9" s="1"/>
  <c r="X12" i="9" s="1"/>
  <c r="X16" i="9"/>
  <c r="H26" i="9"/>
  <c r="U11" i="9"/>
  <c r="Y11" i="9" s="1"/>
  <c r="X11" i="9" s="1"/>
  <c r="K18" i="9"/>
  <c r="J18" i="9" s="1"/>
  <c r="X19" i="9"/>
  <c r="U25" i="9"/>
  <c r="I26" i="9"/>
  <c r="I24" i="9" s="1"/>
  <c r="M8" i="9"/>
  <c r="M9" i="9"/>
  <c r="Q11" i="9"/>
  <c r="J16" i="9"/>
  <c r="X21" i="9"/>
  <c r="U23" i="9"/>
  <c r="U22" i="9" s="1"/>
  <c r="F25" i="9"/>
  <c r="J15" i="9"/>
  <c r="K17" i="9"/>
  <c r="J17" i="9" s="1"/>
  <c r="K20" i="9"/>
  <c r="I20" i="9"/>
  <c r="O8" i="9"/>
  <c r="U8" i="9"/>
  <c r="O9" i="9"/>
  <c r="U9" i="9"/>
  <c r="Y9" i="9" s="1"/>
  <c r="X9" i="9" s="1"/>
  <c r="P10" i="9"/>
  <c r="R10" i="9" s="1"/>
  <c r="Q10" i="9" s="1"/>
  <c r="J11" i="9"/>
  <c r="H12" i="9"/>
  <c r="K12" i="9" s="1"/>
  <c r="J12" i="9" s="1"/>
  <c r="V15" i="9"/>
  <c r="X18" i="9"/>
  <c r="X17" i="9"/>
  <c r="V23" i="9"/>
  <c r="V22" i="9" s="1"/>
  <c r="G25" i="9"/>
  <c r="G24" i="9" s="1"/>
  <c r="D26" i="9"/>
  <c r="U26" i="9"/>
  <c r="P8" i="9"/>
  <c r="V8" i="9"/>
  <c r="P9" i="9"/>
  <c r="X13" i="9"/>
  <c r="O15" i="9"/>
  <c r="H25" i="9"/>
  <c r="N25" i="9"/>
  <c r="N24" i="9" s="1"/>
  <c r="V26" i="9"/>
  <c r="N13" i="9"/>
  <c r="R13" i="9" s="1"/>
  <c r="Q13" i="9" s="1"/>
  <c r="Q17" i="9"/>
  <c r="D25" i="9"/>
  <c r="H8" i="9"/>
  <c r="H9" i="9"/>
  <c r="O12" i="9"/>
  <c r="R12" i="9" s="1"/>
  <c r="Q12" i="9" s="1"/>
  <c r="H13" i="9"/>
  <c r="K13" i="9" s="1"/>
  <c r="J13" i="9" s="1"/>
  <c r="J23" i="9"/>
  <c r="Y42" i="8"/>
  <c r="Y41" i="8"/>
  <c r="R42" i="8"/>
  <c r="R41" i="8"/>
  <c r="K42" i="8"/>
  <c r="K41" i="8"/>
  <c r="T42" i="8"/>
  <c r="O42" i="8"/>
  <c r="Y44" i="8"/>
  <c r="Y43" i="8"/>
  <c r="R44" i="8"/>
  <c r="R43" i="8"/>
  <c r="G42" i="8"/>
  <c r="U42" i="8"/>
  <c r="H42" i="8"/>
  <c r="F42" i="8"/>
  <c r="F41" i="8"/>
  <c r="D43" i="8"/>
  <c r="F43" i="8" s="1"/>
  <c r="D44" i="8"/>
  <c r="F44" i="8" s="1"/>
  <c r="K24" i="9" l="1"/>
  <c r="AD24" i="9" s="1"/>
  <c r="AE24" i="9" s="1"/>
  <c r="H24" i="9"/>
  <c r="V24" i="9"/>
  <c r="G7" i="9"/>
  <c r="G6" i="9" s="1"/>
  <c r="M24" i="9"/>
  <c r="T24" i="9"/>
  <c r="T6" i="9" s="1"/>
  <c r="K9" i="9"/>
  <c r="J9" i="9" s="1"/>
  <c r="H14" i="9"/>
  <c r="P24" i="9"/>
  <c r="R21" i="9"/>
  <c r="R20" i="9" s="1"/>
  <c r="H7" i="9"/>
  <c r="U24" i="9"/>
  <c r="M7" i="9"/>
  <c r="M6" i="9" s="1"/>
  <c r="F24" i="9"/>
  <c r="F6" i="9" s="1"/>
  <c r="O22" i="9"/>
  <c r="R9" i="9"/>
  <c r="Q9" i="9" s="1"/>
  <c r="V7" i="9"/>
  <c r="P7" i="9"/>
  <c r="H22" i="9"/>
  <c r="R8" i="9"/>
  <c r="K8" i="9"/>
  <c r="J14" i="9"/>
  <c r="I14" i="9"/>
  <c r="I6" i="9" s="1"/>
  <c r="Y8" i="9"/>
  <c r="Y7" i="9" s="1"/>
  <c r="U7" i="9"/>
  <c r="Y23" i="9"/>
  <c r="R15" i="9"/>
  <c r="O14" i="9"/>
  <c r="J20" i="9"/>
  <c r="O7" i="9"/>
  <c r="N7" i="9"/>
  <c r="N6" i="9" s="1"/>
  <c r="W20" i="9"/>
  <c r="W6" i="9" s="1"/>
  <c r="Y15" i="9"/>
  <c r="V14" i="9"/>
  <c r="V42" i="8"/>
  <c r="W42" i="8"/>
  <c r="M42" i="8"/>
  <c r="P42" i="8"/>
  <c r="N42" i="8"/>
  <c r="I42" i="8"/>
  <c r="AB24" i="9" l="1"/>
  <c r="D24" i="9"/>
  <c r="Z24" i="9" s="1"/>
  <c r="AE25" i="9"/>
  <c r="AD20" i="9"/>
  <c r="P6" i="9"/>
  <c r="H6" i="9"/>
  <c r="D20" i="9"/>
  <c r="Z20" i="9" s="1"/>
  <c r="AB20" i="9"/>
  <c r="AC24" i="9"/>
  <c r="Q21" i="9"/>
  <c r="Q20" i="9" s="1"/>
  <c r="U6" i="9"/>
  <c r="R22" i="9"/>
  <c r="Q22" i="9"/>
  <c r="V6" i="9"/>
  <c r="O6" i="9"/>
  <c r="Y22" i="9"/>
  <c r="AD22" i="9" s="1"/>
  <c r="X23" i="9"/>
  <c r="X22" i="9" s="1"/>
  <c r="R7" i="9"/>
  <c r="Q8" i="9"/>
  <c r="Q7" i="9" s="1"/>
  <c r="Y14" i="9"/>
  <c r="X15" i="9"/>
  <c r="X14" i="9" s="1"/>
  <c r="Y20" i="9"/>
  <c r="X20" i="9"/>
  <c r="X8" i="9"/>
  <c r="X7" i="9" s="1"/>
  <c r="K22" i="9"/>
  <c r="J22" i="9"/>
  <c r="R14" i="9"/>
  <c r="Q15" i="9"/>
  <c r="K7" i="9"/>
  <c r="J8" i="9"/>
  <c r="J7" i="9" s="1"/>
  <c r="K14" i="9"/>
  <c r="D23" i="8"/>
  <c r="AB38" i="8"/>
  <c r="Y38" i="8"/>
  <c r="K38" i="8"/>
  <c r="D38" i="8"/>
  <c r="R39" i="8"/>
  <c r="K39" i="8"/>
  <c r="Q39" i="8" s="1"/>
  <c r="Y37" i="8"/>
  <c r="D39" i="8"/>
  <c r="AA24" i="9" l="1"/>
  <c r="D22" i="9"/>
  <c r="AB22" i="9"/>
  <c r="AC22" i="9" s="1"/>
  <c r="AB14" i="9"/>
  <c r="AD14" i="9"/>
  <c r="AE14" i="9" s="1"/>
  <c r="D14" i="9"/>
  <c r="Z14" i="9" s="1"/>
  <c r="AE22" i="9"/>
  <c r="AC20" i="9"/>
  <c r="AE20" i="9"/>
  <c r="AA20" i="9"/>
  <c r="R6" i="9"/>
  <c r="Q6" i="9" s="1"/>
  <c r="Y6" i="9"/>
  <c r="X6" i="9" s="1"/>
  <c r="AB7" i="9"/>
  <c r="AD7" i="9"/>
  <c r="AE7" i="9" s="1"/>
  <c r="D7" i="9"/>
  <c r="Z7" i="9" s="1"/>
  <c r="K6" i="9"/>
  <c r="J39" i="8"/>
  <c r="J38" i="8"/>
  <c r="AA22" i="9" l="1"/>
  <c r="Z22" i="9"/>
  <c r="AA14" i="9"/>
  <c r="D6" i="9"/>
  <c r="Z6" i="9" s="1"/>
  <c r="AC14" i="9"/>
  <c r="AB6" i="9"/>
  <c r="AC6" i="9" s="1"/>
  <c r="AC7" i="9"/>
  <c r="J6" i="9"/>
  <c r="AD6" i="9"/>
  <c r="AE6" i="9" s="1"/>
  <c r="AA7" i="9"/>
  <c r="Y30" i="8"/>
  <c r="Y29" i="8"/>
  <c r="R29" i="8"/>
  <c r="K31" i="8"/>
  <c r="K35" i="8"/>
  <c r="K34" i="8"/>
  <c r="R33" i="8"/>
  <c r="Y34" i="8"/>
  <c r="Y33" i="8"/>
  <c r="D9" i="8"/>
  <c r="D10" i="8"/>
  <c r="D8" i="8"/>
  <c r="D12" i="8"/>
  <c r="D13" i="8"/>
  <c r="H13" i="8" s="1"/>
  <c r="D18" i="8"/>
  <c r="D16" i="8"/>
  <c r="D17" i="8"/>
  <c r="H17" i="8" s="1"/>
  <c r="Y21" i="8"/>
  <c r="Y20" i="8"/>
  <c r="Y19" i="8"/>
  <c r="Y17" i="8"/>
  <c r="Y16" i="8"/>
  <c r="D15" i="8"/>
  <c r="H15" i="8" s="1"/>
  <c r="K18" i="8"/>
  <c r="D19" i="8"/>
  <c r="H19" i="8" s="1"/>
  <c r="K19" i="8" s="1"/>
  <c r="D21" i="8"/>
  <c r="I21" i="8" s="1"/>
  <c r="D20" i="8"/>
  <c r="H20" i="8" s="1"/>
  <c r="AB19" i="8"/>
  <c r="AB18" i="8"/>
  <c r="AA6" i="9" l="1"/>
  <c r="H12" i="8"/>
  <c r="J18" i="8"/>
  <c r="J19" i="8"/>
  <c r="R18" i="8"/>
  <c r="W36" i="8"/>
  <c r="T36" i="8"/>
  <c r="S36" i="8"/>
  <c r="P36" i="8"/>
  <c r="N36" i="8"/>
  <c r="M36" i="8"/>
  <c r="L36" i="8"/>
  <c r="I36" i="8"/>
  <c r="G36" i="8"/>
  <c r="F36" i="8"/>
  <c r="D48" i="8"/>
  <c r="K11" i="8"/>
  <c r="O38" i="8" l="1"/>
  <c r="R38" i="8" s="1"/>
  <c r="Q38" i="8" s="1"/>
  <c r="N13" i="8"/>
  <c r="P30" i="8"/>
  <c r="R30" i="8" s="1"/>
  <c r="O12" i="8"/>
  <c r="O17" i="8"/>
  <c r="O19" i="8"/>
  <c r="R19" i="8" s="1"/>
  <c r="Q19" i="8" s="1"/>
  <c r="Q18" i="8"/>
  <c r="D49" i="8"/>
  <c r="D41" i="8" s="1"/>
  <c r="D42" i="8" l="1"/>
  <c r="V12" i="8"/>
  <c r="V39" i="8"/>
  <c r="U39" i="8"/>
  <c r="U36" i="8" s="1"/>
  <c r="X38" i="8"/>
  <c r="W31" i="8"/>
  <c r="Y31" i="8" s="1"/>
  <c r="V18" i="8"/>
  <c r="Y18" i="8" s="1"/>
  <c r="X18" i="8" s="1"/>
  <c r="X19" i="8"/>
  <c r="D24" i="8"/>
  <c r="V24" i="8" s="1"/>
  <c r="Y24" i="8" s="1"/>
  <c r="AB24" i="8"/>
  <c r="AB44" i="8"/>
  <c r="K44" i="8"/>
  <c r="AB43" i="8"/>
  <c r="K43" i="8"/>
  <c r="AB41" i="8"/>
  <c r="W41" i="8"/>
  <c r="V41" i="8"/>
  <c r="U41" i="8"/>
  <c r="T41" i="8"/>
  <c r="P41" i="8"/>
  <c r="O41" i="8"/>
  <c r="N41" i="8"/>
  <c r="M41" i="8"/>
  <c r="Y40" i="8"/>
  <c r="R40" i="8"/>
  <c r="AE44" i="8" s="1"/>
  <c r="AF44" i="8" s="1"/>
  <c r="AB37" i="8"/>
  <c r="D37" i="8"/>
  <c r="AB35" i="8"/>
  <c r="D35" i="8"/>
  <c r="AB34" i="8"/>
  <c r="AB33" i="8"/>
  <c r="D33" i="8"/>
  <c r="Q33" i="8" s="1"/>
  <c r="T32" i="8"/>
  <c r="N32" i="8"/>
  <c r="M32" i="8"/>
  <c r="H32" i="8"/>
  <c r="G32" i="8"/>
  <c r="F32" i="8"/>
  <c r="AB31" i="8"/>
  <c r="AB30" i="8"/>
  <c r="Q30" i="8"/>
  <c r="AB29" i="8"/>
  <c r="X29" i="8"/>
  <c r="T28" i="8"/>
  <c r="N28" i="8"/>
  <c r="M28" i="8"/>
  <c r="H28" i="8"/>
  <c r="G28" i="8"/>
  <c r="F28" i="8"/>
  <c r="AB27" i="8"/>
  <c r="D27" i="8"/>
  <c r="AB26" i="8"/>
  <c r="D26" i="8"/>
  <c r="AB25" i="8"/>
  <c r="D25" i="8"/>
  <c r="G25" i="8" s="1"/>
  <c r="K25" i="8" s="1"/>
  <c r="J25" i="8" s="1"/>
  <c r="AB23" i="8"/>
  <c r="T22" i="8"/>
  <c r="N22" i="8"/>
  <c r="M22" i="8"/>
  <c r="H22" i="8"/>
  <c r="F22" i="8"/>
  <c r="AB21" i="8"/>
  <c r="K21" i="8"/>
  <c r="AB20" i="8"/>
  <c r="AB17" i="8"/>
  <c r="R17" i="8"/>
  <c r="K17" i="8"/>
  <c r="AB16" i="8"/>
  <c r="AB15" i="8"/>
  <c r="W14" i="8"/>
  <c r="U14" i="8"/>
  <c r="T14" i="8"/>
  <c r="P14" i="8"/>
  <c r="N14" i="8"/>
  <c r="M14" i="8"/>
  <c r="I14" i="8"/>
  <c r="G14" i="8"/>
  <c r="F14" i="8"/>
  <c r="AB13" i="8"/>
  <c r="K13" i="8"/>
  <c r="J13" i="8" s="1"/>
  <c r="AB12" i="8"/>
  <c r="K12" i="8"/>
  <c r="J12" i="8" s="1"/>
  <c r="AB11" i="8"/>
  <c r="D11" i="8"/>
  <c r="AB10" i="8"/>
  <c r="H10" i="8"/>
  <c r="K10" i="8" s="1"/>
  <c r="J10" i="8" s="1"/>
  <c r="AB9" i="8"/>
  <c r="AB8" i="8"/>
  <c r="F7" i="8"/>
  <c r="X34" i="8" l="1"/>
  <c r="P34" i="8"/>
  <c r="R34" i="8" s="1"/>
  <c r="Q34" i="8" s="1"/>
  <c r="W35" i="8"/>
  <c r="Y35" i="8" s="1"/>
  <c r="X35" i="8" s="1"/>
  <c r="Y39" i="8"/>
  <c r="X39" i="8" s="1"/>
  <c r="V36" i="8"/>
  <c r="O40" i="8"/>
  <c r="K16" i="8"/>
  <c r="J16" i="8" s="1"/>
  <c r="O16" i="8"/>
  <c r="R16" i="8" s="1"/>
  <c r="Q16" i="8" s="1"/>
  <c r="X37" i="8"/>
  <c r="H37" i="8"/>
  <c r="T40" i="8"/>
  <c r="V40" i="8"/>
  <c r="Q24" i="8"/>
  <c r="V10" i="8"/>
  <c r="Y10" i="8" s="1"/>
  <c r="X10" i="8" s="1"/>
  <c r="Q17" i="8"/>
  <c r="X20" i="8"/>
  <c r="K20" i="8"/>
  <c r="J20" i="8" s="1"/>
  <c r="U9" i="8"/>
  <c r="G9" i="8"/>
  <c r="H9" i="8"/>
  <c r="O9" i="8"/>
  <c r="H8" i="8"/>
  <c r="M8" i="8"/>
  <c r="V8" i="8"/>
  <c r="U8" i="8"/>
  <c r="G8" i="8"/>
  <c r="K8" i="8" s="1"/>
  <c r="J8" i="8" s="1"/>
  <c r="U11" i="8"/>
  <c r="Y11" i="8" s="1"/>
  <c r="X11" i="8" s="1"/>
  <c r="J11" i="8"/>
  <c r="M40" i="8"/>
  <c r="U40" i="8"/>
  <c r="K24" i="8"/>
  <c r="J24" i="8" s="1"/>
  <c r="I7" i="8"/>
  <c r="O32" i="8"/>
  <c r="I29" i="8"/>
  <c r="K29" i="8" s="1"/>
  <c r="J29" i="8" s="1"/>
  <c r="I33" i="8"/>
  <c r="M9" i="8"/>
  <c r="W28" i="8"/>
  <c r="N40" i="8"/>
  <c r="X24" i="8"/>
  <c r="V25" i="8"/>
  <c r="Y25" i="8" s="1"/>
  <c r="X25" i="8" s="1"/>
  <c r="X33" i="8"/>
  <c r="R13" i="8"/>
  <c r="Q13" i="8" s="1"/>
  <c r="P40" i="8"/>
  <c r="W40" i="8"/>
  <c r="Y13" i="8"/>
  <c r="X13" i="8" s="1"/>
  <c r="AD43" i="8"/>
  <c r="N8" i="8"/>
  <c r="P9" i="8"/>
  <c r="O8" i="8"/>
  <c r="Q11" i="8"/>
  <c r="P8" i="8"/>
  <c r="N9" i="8"/>
  <c r="P10" i="8"/>
  <c r="R10" i="8" s="1"/>
  <c r="Q10" i="8" s="1"/>
  <c r="Y12" i="8"/>
  <c r="X12" i="8" s="1"/>
  <c r="X16" i="8"/>
  <c r="J17" i="8"/>
  <c r="X17" i="8"/>
  <c r="R20" i="8"/>
  <c r="Q20" i="8" s="1"/>
  <c r="J21" i="8"/>
  <c r="X21" i="8"/>
  <c r="P25" i="8"/>
  <c r="J26" i="8"/>
  <c r="J27" i="8"/>
  <c r="Q29" i="8"/>
  <c r="X30" i="8"/>
  <c r="J31" i="8"/>
  <c r="X31" i="8"/>
  <c r="R12" i="8"/>
  <c r="Q12" i="8" s="1"/>
  <c r="R21" i="8"/>
  <c r="Q21" i="8" s="1"/>
  <c r="U23" i="8"/>
  <c r="V27" i="8"/>
  <c r="J35" i="8"/>
  <c r="AD44" i="8"/>
  <c r="V15" i="8"/>
  <c r="Y15" i="8" s="1"/>
  <c r="O23" i="8"/>
  <c r="V26" i="8"/>
  <c r="P27" i="8"/>
  <c r="R27" i="8" s="1"/>
  <c r="Q27" i="8" s="1"/>
  <c r="W27" i="8"/>
  <c r="W22" i="8" s="1"/>
  <c r="O15" i="8"/>
  <c r="G23" i="8"/>
  <c r="O26" i="8"/>
  <c r="R26" i="8" s="1"/>
  <c r="Q26" i="8" s="1"/>
  <c r="K33" i="8" l="1"/>
  <c r="J33" i="8" s="1"/>
  <c r="K37" i="8"/>
  <c r="H36" i="8"/>
  <c r="R37" i="8"/>
  <c r="R36" i="8" s="1"/>
  <c r="O36" i="8"/>
  <c r="U7" i="8"/>
  <c r="K9" i="8"/>
  <c r="J9" i="8" s="1"/>
  <c r="V7" i="8"/>
  <c r="O7" i="8"/>
  <c r="R9" i="8"/>
  <c r="Q9" i="8" s="1"/>
  <c r="I22" i="8"/>
  <c r="R35" i="8"/>
  <c r="P32" i="8"/>
  <c r="Y36" i="8"/>
  <c r="P7" i="8"/>
  <c r="O28" i="8"/>
  <c r="V28" i="8"/>
  <c r="U28" i="8"/>
  <c r="R25" i="8"/>
  <c r="Q25" i="8" s="1"/>
  <c r="P22" i="8"/>
  <c r="W7" i="8"/>
  <c r="G7" i="8"/>
  <c r="U32" i="8"/>
  <c r="R31" i="8"/>
  <c r="P28" i="8"/>
  <c r="K15" i="8"/>
  <c r="H14" i="8"/>
  <c r="Y8" i="8"/>
  <c r="T7" i="8"/>
  <c r="T6" i="8" s="1"/>
  <c r="N7" i="8"/>
  <c r="N6" i="8" s="1"/>
  <c r="Y9" i="8"/>
  <c r="X9" i="8" s="1"/>
  <c r="R15" i="8"/>
  <c r="O14" i="8"/>
  <c r="V22" i="8"/>
  <c r="Y26" i="8"/>
  <c r="X26" i="8" s="1"/>
  <c r="Y23" i="8"/>
  <c r="U22" i="8"/>
  <c r="V32" i="8"/>
  <c r="H7" i="8"/>
  <c r="G22" i="8"/>
  <c r="K23" i="8"/>
  <c r="V14" i="8"/>
  <c r="W32" i="8"/>
  <c r="I32" i="8"/>
  <c r="K30" i="8"/>
  <c r="I28" i="8"/>
  <c r="R8" i="8"/>
  <c r="M7" i="8"/>
  <c r="M6" i="8" s="1"/>
  <c r="O22" i="8"/>
  <c r="R23" i="8"/>
  <c r="Y27" i="8"/>
  <c r="X27" i="8" s="1"/>
  <c r="Q37" i="8" l="1"/>
  <c r="Q36" i="8" s="1"/>
  <c r="K36" i="8"/>
  <c r="D36" i="8" s="1"/>
  <c r="J37" i="8"/>
  <c r="J36" i="8" s="1"/>
  <c r="O6" i="8"/>
  <c r="U6" i="8"/>
  <c r="V6" i="8"/>
  <c r="P6" i="8"/>
  <c r="Q35" i="8"/>
  <c r="Q32" i="8" s="1"/>
  <c r="R32" i="8"/>
  <c r="X36" i="8"/>
  <c r="W6" i="8"/>
  <c r="J30" i="8"/>
  <c r="J28" i="8" s="1"/>
  <c r="K28" i="8"/>
  <c r="Y32" i="8"/>
  <c r="X32" i="8"/>
  <c r="R22" i="8"/>
  <c r="Q23" i="8"/>
  <c r="Q22" i="8" s="1"/>
  <c r="J34" i="8"/>
  <c r="J32" i="8" s="1"/>
  <c r="K32" i="8"/>
  <c r="Y14" i="8"/>
  <c r="X15" i="8"/>
  <c r="X14" i="8" s="1"/>
  <c r="Y22" i="8"/>
  <c r="X23" i="8"/>
  <c r="X22" i="8" s="1"/>
  <c r="K14" i="8"/>
  <c r="J15" i="8"/>
  <c r="J14" i="8" s="1"/>
  <c r="K22" i="8"/>
  <c r="J23" i="8"/>
  <c r="R14" i="8"/>
  <c r="Q15" i="8"/>
  <c r="Y28" i="8"/>
  <c r="X28" i="8"/>
  <c r="Y7" i="8"/>
  <c r="X8" i="8"/>
  <c r="X7" i="8" s="1"/>
  <c r="Q31" i="8"/>
  <c r="Q28" i="8" s="1"/>
  <c r="R28" i="8"/>
  <c r="K7" i="8"/>
  <c r="J7" i="8"/>
  <c r="R7" i="8"/>
  <c r="Q8" i="8"/>
  <c r="Q7" i="8" s="1"/>
  <c r="D32" i="8" l="1"/>
  <c r="Z32" i="8" s="1"/>
  <c r="AA32" i="8"/>
  <c r="AB32" i="8" s="1"/>
  <c r="Y6" i="8"/>
  <c r="X6" i="8" s="1"/>
  <c r="AE36" i="8"/>
  <c r="AF36" i="8" s="1"/>
  <c r="AA36" i="8"/>
  <c r="AB36" i="8" s="1"/>
  <c r="Z36" i="8"/>
  <c r="AC36" i="8"/>
  <c r="AD36" i="8" s="1"/>
  <c r="R6" i="8"/>
  <c r="Q6" i="8" s="1"/>
  <c r="AE32" i="8"/>
  <c r="AF32" i="8" s="1"/>
  <c r="AC32" i="8"/>
  <c r="AD32" i="8" s="1"/>
  <c r="AC22" i="8"/>
  <c r="AD22" i="8" s="1"/>
  <c r="D22" i="8"/>
  <c r="Z22" i="8" s="1"/>
  <c r="AE22" i="8"/>
  <c r="AF22" i="8" s="1"/>
  <c r="AA22" i="8"/>
  <c r="AB22" i="8" s="1"/>
  <c r="AE7" i="8"/>
  <c r="AF7" i="8" s="1"/>
  <c r="AA7" i="8"/>
  <c r="D7" i="8"/>
  <c r="AC7" i="8"/>
  <c r="AD7" i="8" s="1"/>
  <c r="AE28" i="8"/>
  <c r="AF28" i="8" s="1"/>
  <c r="AA28" i="8"/>
  <c r="AB28" i="8" s="1"/>
  <c r="D28" i="8"/>
  <c r="Z28" i="8" s="1"/>
  <c r="AC28" i="8"/>
  <c r="AD28" i="8" s="1"/>
  <c r="AC14" i="8"/>
  <c r="AD14" i="8" s="1"/>
  <c r="AE14" i="8"/>
  <c r="AF14" i="8" s="1"/>
  <c r="AA14" i="8"/>
  <c r="AB14" i="8" s="1"/>
  <c r="D14" i="8"/>
  <c r="Z14" i="8" s="1"/>
  <c r="Z7" i="8" l="1"/>
  <c r="AB7" i="8"/>
  <c r="G41" i="8"/>
  <c r="G40" i="8" s="1"/>
  <c r="G6" i="8" s="1"/>
  <c r="I41" i="8"/>
  <c r="I40" i="8" s="1"/>
  <c r="I6" i="8" s="1"/>
  <c r="H41" i="8"/>
  <c r="H40" i="8" s="1"/>
  <c r="H6" i="8" s="1"/>
  <c r="F40" i="8"/>
  <c r="F6" i="8" s="1"/>
  <c r="K40" i="8"/>
  <c r="AE43" i="8" s="1"/>
  <c r="AF43" i="8" s="1"/>
  <c r="K6" i="8" l="1"/>
  <c r="AC6" i="8" s="1"/>
  <c r="AD6" i="8" s="1"/>
  <c r="AC40" i="8"/>
  <c r="AD40" i="8" s="1"/>
  <c r="AA40" i="8"/>
  <c r="AA6" i="8" s="1"/>
  <c r="AE40" i="8"/>
  <c r="AF40" i="8" s="1"/>
  <c r="AD41" i="8"/>
  <c r="D40" i="8"/>
  <c r="AE6" i="8" l="1"/>
  <c r="AF6" i="8" s="1"/>
  <c r="J6" i="8"/>
  <c r="AB40" i="8"/>
  <c r="AB6" i="8"/>
  <c r="Z40" i="8"/>
  <c r="Z6" i="8" s="1"/>
  <c r="D6" i="8"/>
</calcChain>
</file>

<file path=xl/sharedStrings.xml><?xml version="1.0" encoding="utf-8"?>
<sst xmlns="http://schemas.openxmlformats.org/spreadsheetml/2006/main" count="187" uniqueCount="91">
  <si>
    <t>Наименование мероприятия</t>
  </si>
  <si>
    <t>Ед. изм.</t>
  </si>
  <si>
    <t>К-во</t>
  </si>
  <si>
    <t>I кв.</t>
  </si>
  <si>
    <t>II кв.</t>
  </si>
  <si>
    <t>III кв.</t>
  </si>
  <si>
    <t>IV кв.</t>
  </si>
  <si>
    <t>контроль</t>
  </si>
  <si>
    <t>ВСЕГО</t>
  </si>
  <si>
    <t>МФУ (А4)</t>
  </si>
  <si>
    <t>шт</t>
  </si>
  <si>
    <t>Принтеры (А4)</t>
  </si>
  <si>
    <t>Кондиционеры</t>
  </si>
  <si>
    <t>Тепловая завеса</t>
  </si>
  <si>
    <t>Счётчик банкнот</t>
  </si>
  <si>
    <t>сист.</t>
  </si>
  <si>
    <t>Система управления контролем доступа</t>
  </si>
  <si>
    <t>Система видеонаблюдения</t>
  </si>
  <si>
    <t>объ-ект</t>
  </si>
  <si>
    <t>Лада Нива (5 дв)</t>
  </si>
  <si>
    <t>Серверное оборудование</t>
  </si>
  <si>
    <t>Мониторы к ПК</t>
  </si>
  <si>
    <t xml:space="preserve">Серверные ИБП </t>
  </si>
  <si>
    <t>Работы по монтажу, пусконаладке и др. работы связанные с запуском и эксплуатацией системы (обучение, опытная эксплуатация)</t>
  </si>
  <si>
    <t>компл.</t>
  </si>
  <si>
    <t>Серверное оборудование и серверное ПО</t>
  </si>
  <si>
    <t>Оборудование (счетчики и коммутационное оборудование)</t>
  </si>
  <si>
    <t>ПС для  ЦОК Карсунского участока ОП Северное отделение (р.п. Карсун)</t>
  </si>
  <si>
    <t>Приобретение офисного здания (помещений) для размещения ЦОК Карсунского участока ОП Северное отделение (р.п. Карсун)</t>
  </si>
  <si>
    <t>Приобретение офисного здания (помещений) для размещения ЦОК Кузоватовского участка  ОП Барышское отделение (р.п. Кузоватово)</t>
  </si>
  <si>
    <t>ПС для ЦОК Кузоватовского участка  ОП Барышское отделение (р.п. Кузоватово)</t>
  </si>
  <si>
    <t>Hyundai Solaris</t>
  </si>
  <si>
    <t>Серверное оборудование для защиты каналов связи</t>
  </si>
  <si>
    <t>коэф. на 2022 год</t>
  </si>
  <si>
    <t>коэф. на 2023 год</t>
  </si>
  <si>
    <t>Утепление внешнего контура офисного здания Барышского участка ОП Барышское отделение</t>
  </si>
  <si>
    <t>Утепление внешнего контура офисного здания Старокулаткинского участка ОП Южное отделение</t>
  </si>
  <si>
    <t>ВСЕГО:</t>
  </si>
  <si>
    <t>Стоимость в 2023 г. с учетом ИПЦ =1,04</t>
  </si>
  <si>
    <t>Стоимость в 2022 г. с учетом ИПЦ =1,04</t>
  </si>
  <si>
    <t>итого</t>
  </si>
  <si>
    <t>с ндс</t>
  </si>
  <si>
    <t>в баз стоимости</t>
  </si>
  <si>
    <t>K_COK.POK_01.05 Приобретение объектов недвижимости для центров обслуживания клиентов (ЦОК)</t>
  </si>
  <si>
    <t>общ. ст-ть в 2020 г. с ндс</t>
  </si>
  <si>
    <t>общ. ст-ть с учетом ИПЦ без ндс</t>
  </si>
  <si>
    <t>K_VTiOT_01.01 
Приобретение ВТ и ОТ</t>
  </si>
  <si>
    <t>K_AVTO_01.02 
Приобретение автотранспорта</t>
  </si>
  <si>
    <t>K_OOS_01.03 
Приобретение отдельных объектов ОС</t>
  </si>
  <si>
    <t>K_OPS_01.04 
Монтаж ОПС</t>
  </si>
  <si>
    <t>общ. ст-ть с учетом ИПЦ c ндс</t>
  </si>
  <si>
    <t>Расчет стоимости проектов инвестиционной программы на 2022-2024 гг.</t>
  </si>
  <si>
    <t>08.04.2021 г.</t>
  </si>
  <si>
    <t>Стоимость в 2024 г. с учетом ИПЦ =1,04</t>
  </si>
  <si>
    <t>коэф. на 2024 год</t>
  </si>
  <si>
    <t>Коэф. изменение цены по отношению к ценам 2021 года</t>
  </si>
  <si>
    <t>Стоимость в 2021 г. (без НДС),
тыс.руб.</t>
  </si>
  <si>
    <t>Toyota Corolla</t>
  </si>
  <si>
    <t>Экскаватор Terex</t>
  </si>
  <si>
    <t>ГАЗ Соболь 4WD</t>
  </si>
  <si>
    <t>Лада Гранта</t>
  </si>
  <si>
    <t>K_ENERGOSB_01.06 Энергосбережение</t>
  </si>
  <si>
    <t>ГАЗ NEXT бортовой</t>
  </si>
  <si>
    <t>ПС для ЦОК участка "Сектор левый" ОП Ульяновское отделение (г.Сенгилей)</t>
  </si>
  <si>
    <t>Приобретение офисного здания (помещений) для размещения ЦОК участка "Сектор левый" ОП Городское отделение</t>
  </si>
  <si>
    <t>Утепление внешнего контура офисного здания ЦА (г.Ульяновск, пр-т 50-летия ВЛКСМ, 23а)</t>
  </si>
  <si>
    <t>Специальное ПО для создания ИСУЭЭ(М)</t>
  </si>
  <si>
    <t>K_ISUE_01.07 Интеллектуальная система учета электрической энергии (мощности)</t>
  </si>
  <si>
    <t>12.04.2021 г.</t>
  </si>
  <si>
    <t>Работы по монтажу, пусконаладке и др. работы связанные с запуском и эксплуатацией системы</t>
  </si>
  <si>
    <t>Сервер резервного копирования</t>
  </si>
  <si>
    <t>LADA Гранта</t>
  </si>
  <si>
    <t>LADA Нива (5 дв)</t>
  </si>
  <si>
    <t>LADA Веста Cross</t>
  </si>
  <si>
    <t>Стоимость в 2022 г. с учетом ИПЦ =103,863 %</t>
  </si>
  <si>
    <t>Стоимость в 2023 г. с учетом ИПЦ =104,036%</t>
  </si>
  <si>
    <t>Стоимость в 2024 г. с учетом ИПЦ =103,989%</t>
  </si>
  <si>
    <t>ГАЗель NEXT борт</t>
  </si>
  <si>
    <t>Расчёт стоимости проектов инвестиционной программы на 2022-2024 гг.</t>
  </si>
  <si>
    <t>без НДС</t>
  </si>
  <si>
    <t>с НДС</t>
  </si>
  <si>
    <t xml:space="preserve"> без НДС</t>
  </si>
  <si>
    <t>Общ. ст-ть с учетом ИПЦ, тыс. руб.</t>
  </si>
  <si>
    <t xml:space="preserve"> c НДС</t>
  </si>
  <si>
    <t>Стоимость в базисном (2021) г., тыс.руб.</t>
  </si>
  <si>
    <t>Приобретение офисного здания (помещений) для размещения центра обслуживания клиентов  участка "Сектор левый" ОП Городское отделение</t>
  </si>
  <si>
    <t>L_3.01_VTiOT
Приобретение ВТ и ОТ</t>
  </si>
  <si>
    <t>L_3.02_AVTO
Приобретение автотранспорта</t>
  </si>
  <si>
    <t>L_3.03_COK.POK
Приобретение объектов недвижимости для ЦОК</t>
  </si>
  <si>
    <t>L_3.04_ENERGOSB Энергосбережение</t>
  </si>
  <si>
    <t>L_3.05_ISUEE Интеллектуальная система учета электрической энергии (мощности)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</si>
</sst>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"/>
    <numFmt numFmtId="166" formatCode="0.0000"/>
    <numFmt numFmtId="167" formatCode="0.00000"/>
  </numFmts>
  <fonts count="23" x14ac:knownFonts="1">
    <font>
      <sz val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color theme="0" tint="-0.49998474074526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27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3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indexed="8"/>
      </right>
      <top style="thin">
        <color auto="1"/>
      </top>
      <bottom style="hair">
        <color auto="1"/>
      </bottom>
      <diagonal/>
    </border>
    <border>
      <left/>
      <right style="hair">
        <color indexed="8"/>
      </right>
      <top style="hair">
        <color auto="1"/>
      </top>
      <bottom style="hair">
        <color auto="1"/>
      </bottom>
      <diagonal/>
    </border>
    <border>
      <left style="thin">
        <color indexed="8"/>
      </left>
      <right style="thin">
        <color indexed="8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/>
      <right style="thin">
        <color indexed="64"/>
      </right>
      <top style="hair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hair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thin">
        <color auto="1"/>
      </top>
      <bottom style="hair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8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indexed="8"/>
      </right>
      <top style="hair">
        <color auto="1"/>
      </top>
      <bottom style="hair">
        <color auto="1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thin">
        <color indexed="8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8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8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8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thin">
        <color indexed="64"/>
      </left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 style="thin">
        <color indexed="64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hair">
        <color auto="1"/>
      </bottom>
      <diagonal/>
    </border>
    <border>
      <left style="hair">
        <color indexed="8"/>
      </left>
      <right/>
      <top style="hair">
        <color auto="1"/>
      </top>
      <bottom style="hair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 style="hair">
        <color indexed="64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64"/>
      </right>
      <top style="hair">
        <color indexed="8"/>
      </top>
      <bottom/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hair">
        <color indexed="8"/>
      </left>
      <right style="thin">
        <color indexed="64"/>
      </right>
      <top/>
      <bottom style="hair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auto="1"/>
      </top>
      <bottom style="hair">
        <color auto="1"/>
      </bottom>
      <diagonal/>
    </border>
    <border>
      <left style="thin">
        <color indexed="8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8"/>
      </right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/>
      <bottom style="thin">
        <color auto="1"/>
      </bottom>
      <diagonal/>
    </border>
    <border>
      <left style="hair">
        <color indexed="8"/>
      </left>
      <right style="thin">
        <color indexed="8"/>
      </right>
      <top/>
      <bottom style="thin">
        <color auto="1"/>
      </bottom>
      <diagonal/>
    </border>
    <border>
      <left style="hair">
        <color indexed="8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hair">
        <color indexed="8"/>
      </right>
      <top/>
      <bottom style="thin">
        <color auto="1"/>
      </bottom>
      <diagonal/>
    </border>
    <border>
      <left style="hair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8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8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indexed="8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indexed="8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8"/>
      </right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/>
      <bottom style="hair">
        <color auto="1"/>
      </bottom>
      <diagonal/>
    </border>
    <border>
      <left style="hair">
        <color indexed="8"/>
      </left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auto="1"/>
      </left>
      <right style="thin">
        <color indexed="8"/>
      </right>
      <top/>
      <bottom style="hair">
        <color auto="1"/>
      </bottom>
      <diagonal/>
    </border>
    <border>
      <left style="thin">
        <color indexed="8"/>
      </left>
      <right style="thin">
        <color indexed="64"/>
      </right>
      <top/>
      <bottom style="hair">
        <color auto="1"/>
      </bottom>
      <diagonal/>
    </border>
    <border>
      <left style="thin">
        <color indexed="8"/>
      </left>
      <right style="thin">
        <color indexed="8"/>
      </right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8"/>
      </left>
      <right/>
      <top/>
      <bottom style="hair">
        <color auto="1"/>
      </bottom>
      <diagonal/>
    </border>
    <border>
      <left style="hair">
        <color indexed="8"/>
      </left>
      <right style="thin">
        <color indexed="8"/>
      </right>
      <top/>
      <bottom style="hair">
        <color auto="1"/>
      </bottom>
      <diagonal/>
    </border>
    <border>
      <left style="thin">
        <color indexed="8"/>
      </left>
      <right style="thin">
        <color indexed="8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/>
      <bottom style="thin">
        <color auto="1"/>
      </bottom>
      <diagonal/>
    </border>
    <border>
      <left style="hair">
        <color indexed="8"/>
      </left>
      <right style="thin">
        <color indexed="8"/>
      </right>
      <top/>
      <bottom style="thin">
        <color auto="1"/>
      </bottom>
      <diagonal/>
    </border>
    <border>
      <left style="hair">
        <color indexed="8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hair">
        <color indexed="8"/>
      </right>
      <top/>
      <bottom style="thin">
        <color auto="1"/>
      </bottom>
      <diagonal/>
    </border>
    <border>
      <left style="hair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hair">
        <color auto="1"/>
      </bottom>
      <diagonal/>
    </border>
    <border>
      <left/>
      <right style="hair">
        <color indexed="8"/>
      </right>
      <top style="thin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thin">
        <color auto="1"/>
      </top>
      <bottom style="hair">
        <color auto="1"/>
      </bottom>
      <diagonal/>
    </border>
    <border>
      <left style="hair">
        <color indexed="8"/>
      </left>
      <right/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hair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8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8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17" fillId="0" borderId="0"/>
    <xf numFmtId="0" fontId="1" fillId="0" borderId="0"/>
  </cellStyleXfs>
  <cellXfs count="500">
    <xf numFmtId="0" fontId="0" fillId="0" borderId="0" xfId="0"/>
    <xf numFmtId="0" fontId="3" fillId="0" borderId="0" xfId="0" applyFont="1"/>
    <xf numFmtId="0" fontId="6" fillId="0" borderId="0" xfId="0" applyFont="1" applyBorder="1"/>
    <xf numFmtId="49" fontId="4" fillId="0" borderId="1" xfId="0" applyNumberFormat="1" applyFont="1" applyBorder="1" applyAlignment="1">
      <alignment horizontal="left" vertical="top"/>
    </xf>
    <xf numFmtId="0" fontId="4" fillId="0" borderId="0" xfId="0" applyFont="1" applyBorder="1"/>
    <xf numFmtId="0" fontId="6" fillId="0" borderId="0" xfId="0" applyFont="1"/>
    <xf numFmtId="0" fontId="13" fillId="0" borderId="0" xfId="0" applyFont="1" applyAlignment="1"/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 applyProtection="1">
      <alignment horizontal="left" vertical="top" wrapText="1"/>
      <protection locked="0"/>
    </xf>
    <xf numFmtId="0" fontId="6" fillId="0" borderId="6" xfId="0" applyFont="1" applyFill="1" applyBorder="1" applyAlignment="1" applyProtection="1">
      <alignment horizontal="center" vertical="top"/>
      <protection locked="0"/>
    </xf>
    <xf numFmtId="0" fontId="6" fillId="0" borderId="0" xfId="0" applyFont="1" applyFill="1"/>
    <xf numFmtId="0" fontId="13" fillId="0" borderId="0" xfId="0" applyFont="1" applyFill="1" applyAlignment="1" applyProtection="1"/>
    <xf numFmtId="0" fontId="6" fillId="0" borderId="13" xfId="0" applyFont="1" applyFill="1" applyBorder="1" applyAlignment="1" applyProtection="1">
      <alignment horizontal="left" vertical="top" wrapText="1"/>
      <protection locked="0"/>
    </xf>
    <xf numFmtId="0" fontId="6" fillId="0" borderId="14" xfId="0" applyFont="1" applyFill="1" applyBorder="1" applyAlignment="1" applyProtection="1">
      <alignment horizontal="center" vertical="top"/>
      <protection locked="0"/>
    </xf>
    <xf numFmtId="0" fontId="6" fillId="0" borderId="6" xfId="0" applyFont="1" applyFill="1" applyBorder="1" applyAlignment="1" applyProtection="1">
      <alignment horizontal="center" vertical="top" wrapText="1"/>
      <protection locked="0"/>
    </xf>
    <xf numFmtId="3" fontId="6" fillId="0" borderId="6" xfId="0" applyNumberFormat="1" applyFont="1" applyFill="1" applyBorder="1" applyAlignment="1" applyProtection="1">
      <alignment horizontal="center" vertical="top" wrapText="1"/>
      <protection locked="0"/>
    </xf>
    <xf numFmtId="3" fontId="6" fillId="0" borderId="17" xfId="0" applyNumberFormat="1" applyFont="1" applyFill="1" applyBorder="1" applyAlignment="1" applyProtection="1">
      <alignment horizontal="center" vertical="top" wrapText="1"/>
      <protection locked="0"/>
    </xf>
    <xf numFmtId="0" fontId="8" fillId="0" borderId="0" xfId="0" applyFont="1"/>
    <xf numFmtId="0" fontId="15" fillId="0" borderId="0" xfId="0" applyFont="1"/>
    <xf numFmtId="1" fontId="6" fillId="0" borderId="0" xfId="0" applyNumberFormat="1" applyFont="1"/>
    <xf numFmtId="0" fontId="6" fillId="0" borderId="9" xfId="1" applyFont="1" applyFill="1" applyBorder="1" applyAlignment="1" applyProtection="1">
      <alignment horizontal="left" vertical="top" wrapText="1"/>
      <protection locked="0"/>
    </xf>
    <xf numFmtId="0" fontId="6" fillId="0" borderId="6" xfId="1" applyFont="1" applyFill="1" applyBorder="1" applyAlignment="1" applyProtection="1">
      <alignment horizontal="center" vertical="top"/>
      <protection locked="0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5" fontId="6" fillId="0" borderId="0" xfId="0" applyNumberFormat="1" applyFont="1"/>
    <xf numFmtId="0" fontId="6" fillId="0" borderId="22" xfId="0" applyFont="1" applyFill="1" applyBorder="1" applyAlignment="1">
      <alignment horizontal="left" vertical="top" wrapText="1"/>
    </xf>
    <xf numFmtId="0" fontId="6" fillId="0" borderId="23" xfId="0" applyFont="1" applyFill="1" applyBorder="1" applyAlignment="1" applyProtection="1">
      <alignment horizontal="left" vertical="top" wrapText="1"/>
      <protection locked="0"/>
    </xf>
    <xf numFmtId="0" fontId="6" fillId="0" borderId="24" xfId="0" applyFont="1" applyFill="1" applyBorder="1" applyAlignment="1" applyProtection="1">
      <alignment horizontal="left" vertical="top" wrapText="1"/>
      <protection locked="0"/>
    </xf>
    <xf numFmtId="165" fontId="6" fillId="0" borderId="25" xfId="0" applyNumberFormat="1" applyFont="1" applyFill="1" applyBorder="1" applyAlignment="1">
      <alignment horizontal="right" vertical="top" wrapText="1"/>
    </xf>
    <xf numFmtId="165" fontId="6" fillId="0" borderId="28" xfId="1" applyNumberFormat="1" applyFont="1" applyFill="1" applyBorder="1" applyAlignment="1" applyProtection="1">
      <alignment horizontal="right" vertical="top" wrapText="1"/>
      <protection locked="0"/>
    </xf>
    <xf numFmtId="3" fontId="6" fillId="0" borderId="33" xfId="0" applyNumberFormat="1" applyFont="1" applyFill="1" applyBorder="1" applyAlignment="1" applyProtection="1">
      <alignment horizontal="center" vertical="top" wrapText="1"/>
      <protection locked="0"/>
    </xf>
    <xf numFmtId="165" fontId="4" fillId="0" borderId="1" xfId="0" applyNumberFormat="1" applyFont="1" applyBorder="1" applyAlignment="1">
      <alignment horizontal="right" vertical="top"/>
    </xf>
    <xf numFmtId="165" fontId="4" fillId="0" borderId="0" xfId="0" applyNumberFormat="1" applyFont="1" applyBorder="1" applyAlignment="1">
      <alignment horizontal="right" vertical="top"/>
    </xf>
    <xf numFmtId="165" fontId="6" fillId="0" borderId="29" xfId="0" applyNumberFormat="1" applyFont="1" applyFill="1" applyBorder="1" applyAlignment="1" applyProtection="1">
      <alignment horizontal="right" vertical="top" wrapText="1"/>
      <protection locked="0"/>
    </xf>
    <xf numFmtId="165" fontId="6" fillId="0" borderId="6" xfId="1" applyNumberFormat="1" applyFont="1" applyFill="1" applyBorder="1" applyAlignment="1" applyProtection="1">
      <alignment horizontal="right" vertical="top" wrapText="1"/>
      <protection locked="0"/>
    </xf>
    <xf numFmtId="165" fontId="6" fillId="0" borderId="16" xfId="1" applyNumberFormat="1" applyFont="1" applyFill="1" applyBorder="1" applyAlignment="1" applyProtection="1">
      <alignment horizontal="right" vertical="top" wrapText="1"/>
      <protection locked="0"/>
    </xf>
    <xf numFmtId="165" fontId="6" fillId="0" borderId="36" xfId="1" applyNumberFormat="1" applyFont="1" applyFill="1" applyBorder="1" applyAlignment="1" applyProtection="1">
      <alignment horizontal="right" vertical="top" wrapText="1"/>
      <protection locked="0"/>
    </xf>
    <xf numFmtId="165" fontId="6" fillId="0" borderId="6" xfId="0" applyNumberFormat="1" applyFont="1" applyFill="1" applyBorder="1" applyAlignment="1" applyProtection="1">
      <alignment horizontal="right" vertical="top"/>
      <protection locked="0"/>
    </xf>
    <xf numFmtId="165" fontId="6" fillId="0" borderId="0" xfId="0" applyNumberFormat="1" applyFont="1" applyFill="1" applyAlignment="1">
      <alignment horizontal="right"/>
    </xf>
    <xf numFmtId="165" fontId="6" fillId="0" borderId="28" xfId="0" applyNumberFormat="1" applyFont="1" applyFill="1" applyBorder="1" applyAlignment="1" applyProtection="1">
      <alignment horizontal="right" vertical="top" wrapText="1"/>
      <protection locked="0"/>
    </xf>
    <xf numFmtId="165" fontId="6" fillId="0" borderId="30" xfId="0" applyNumberFormat="1" applyFont="1" applyFill="1" applyBorder="1" applyAlignment="1" applyProtection="1">
      <alignment horizontal="right" vertical="top" wrapText="1"/>
      <protection locked="0"/>
    </xf>
    <xf numFmtId="165" fontId="3" fillId="0" borderId="0" xfId="0" applyNumberFormat="1" applyFont="1" applyAlignment="1">
      <alignment horizontal="center"/>
    </xf>
    <xf numFmtId="165" fontId="4" fillId="0" borderId="0" xfId="0" applyNumberFormat="1" applyFont="1" applyBorder="1" applyAlignment="1">
      <alignment horizontal="center" vertical="top"/>
    </xf>
    <xf numFmtId="165" fontId="6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165" fontId="4" fillId="0" borderId="1" xfId="0" applyNumberFormat="1" applyFont="1" applyBorder="1" applyAlignment="1">
      <alignment horizontal="center" vertical="top"/>
    </xf>
    <xf numFmtId="165" fontId="6" fillId="0" borderId="9" xfId="0" applyNumberFormat="1" applyFont="1" applyFill="1" applyBorder="1" applyAlignment="1" applyProtection="1">
      <alignment horizontal="right" vertical="top" wrapText="1"/>
      <protection locked="0"/>
    </xf>
    <xf numFmtId="165" fontId="6" fillId="0" borderId="35" xfId="0" applyNumberFormat="1" applyFont="1" applyFill="1" applyBorder="1" applyAlignment="1" applyProtection="1">
      <alignment horizontal="right" vertical="top" wrapText="1"/>
      <protection locked="0"/>
    </xf>
    <xf numFmtId="165" fontId="6" fillId="0" borderId="36" xfId="0" applyNumberFormat="1" applyFont="1" applyFill="1" applyBorder="1" applyAlignment="1" applyProtection="1">
      <alignment horizontal="right" vertical="top" wrapText="1"/>
      <protection locked="0"/>
    </xf>
    <xf numFmtId="165" fontId="6" fillId="0" borderId="36" xfId="0" applyNumberFormat="1" applyFont="1" applyFill="1" applyBorder="1" applyAlignment="1" applyProtection="1">
      <alignment horizontal="right" vertical="top"/>
      <protection locked="0"/>
    </xf>
    <xf numFmtId="165" fontId="6" fillId="0" borderId="35" xfId="0" applyNumberFormat="1" applyFont="1" applyFill="1" applyBorder="1" applyAlignment="1" applyProtection="1">
      <alignment horizontal="right" vertical="top"/>
      <protection locked="0"/>
    </xf>
    <xf numFmtId="165" fontId="6" fillId="0" borderId="41" xfId="0" applyNumberFormat="1" applyFont="1" applyFill="1" applyBorder="1" applyAlignment="1" applyProtection="1">
      <alignment horizontal="right" vertical="top"/>
      <protection locked="0"/>
    </xf>
    <xf numFmtId="3" fontId="9" fillId="0" borderId="9" xfId="1" applyNumberFormat="1" applyFont="1" applyFill="1" applyBorder="1" applyAlignment="1" applyProtection="1">
      <alignment horizontal="right" wrapText="1"/>
      <protection locked="0"/>
    </xf>
    <xf numFmtId="3" fontId="9" fillId="0" borderId="6" xfId="1" applyNumberFormat="1" applyFont="1" applyFill="1" applyBorder="1" applyAlignment="1" applyProtection="1">
      <alignment horizontal="right"/>
      <protection locked="0"/>
    </xf>
    <xf numFmtId="3" fontId="9" fillId="0" borderId="28" xfId="1" applyNumberFormat="1" applyFont="1" applyFill="1" applyBorder="1" applyAlignment="1" applyProtection="1">
      <alignment horizontal="right" wrapText="1"/>
      <protection locked="0"/>
    </xf>
    <xf numFmtId="3" fontId="10" fillId="0" borderId="7" xfId="0" applyNumberFormat="1" applyFont="1" applyBorder="1" applyAlignment="1">
      <alignment horizontal="right" wrapText="1"/>
    </xf>
    <xf numFmtId="0" fontId="6" fillId="0" borderId="29" xfId="0" applyFont="1" applyFill="1" applyBorder="1" applyAlignment="1">
      <alignment horizontal="left" vertical="top" wrapText="1"/>
    </xf>
    <xf numFmtId="0" fontId="6" fillId="0" borderId="44" xfId="0" applyFont="1" applyFill="1" applyBorder="1" applyAlignment="1" applyProtection="1">
      <alignment horizontal="left" vertical="top" wrapText="1"/>
      <protection locked="0"/>
    </xf>
    <xf numFmtId="165" fontId="6" fillId="0" borderId="41" xfId="1" applyNumberFormat="1" applyFont="1" applyFill="1" applyBorder="1" applyAlignment="1" applyProtection="1">
      <alignment horizontal="right" vertical="top" wrapText="1"/>
      <protection locked="0"/>
    </xf>
    <xf numFmtId="165" fontId="6" fillId="0" borderId="45" xfId="0" applyNumberFormat="1" applyFont="1" applyFill="1" applyBorder="1" applyAlignment="1">
      <alignment horizontal="right" vertical="top" wrapText="1"/>
    </xf>
    <xf numFmtId="0" fontId="6" fillId="0" borderId="36" xfId="1" applyFont="1" applyFill="1" applyBorder="1" applyAlignment="1" applyProtection="1">
      <alignment horizontal="left" vertical="top" wrapText="1"/>
      <protection locked="0"/>
    </xf>
    <xf numFmtId="0" fontId="6" fillId="0" borderId="41" xfId="1" applyFont="1" applyFill="1" applyBorder="1" applyAlignment="1" applyProtection="1">
      <alignment horizontal="center" vertical="top"/>
      <protection locked="0"/>
    </xf>
    <xf numFmtId="165" fontId="6" fillId="0" borderId="44" xfId="1" applyNumberFormat="1" applyFont="1" applyFill="1" applyBorder="1" applyAlignment="1" applyProtection="1">
      <alignment horizontal="right" vertical="top" wrapText="1"/>
      <protection locked="0"/>
    </xf>
    <xf numFmtId="3" fontId="13" fillId="0" borderId="5" xfId="0" applyNumberFormat="1" applyFont="1" applyBorder="1" applyAlignment="1">
      <alignment horizontal="center" vertical="center" wrapText="1"/>
    </xf>
    <xf numFmtId="3" fontId="6" fillId="0" borderId="39" xfId="0" applyNumberFormat="1" applyFont="1" applyFill="1" applyBorder="1" applyAlignment="1" applyProtection="1">
      <alignment horizontal="center" vertical="top"/>
      <protection locked="0"/>
    </xf>
    <xf numFmtId="3" fontId="6" fillId="0" borderId="39" xfId="0" applyNumberFormat="1" applyFont="1" applyFill="1" applyBorder="1" applyAlignment="1" applyProtection="1">
      <alignment horizontal="center" vertical="top" wrapText="1"/>
      <protection locked="0"/>
    </xf>
    <xf numFmtId="3" fontId="6" fillId="0" borderId="43" xfId="0" applyNumberFormat="1" applyFont="1" applyFill="1" applyBorder="1" applyAlignment="1" applyProtection="1">
      <alignment horizontal="center" vertical="top" wrapText="1"/>
      <protection locked="0"/>
    </xf>
    <xf numFmtId="3" fontId="13" fillId="0" borderId="40" xfId="0" applyNumberFormat="1" applyFont="1" applyBorder="1" applyAlignment="1">
      <alignment horizontal="center" wrapText="1"/>
    </xf>
    <xf numFmtId="3" fontId="6" fillId="0" borderId="47" xfId="0" applyNumberFormat="1" applyFont="1" applyFill="1" applyBorder="1" applyAlignment="1">
      <alignment horizontal="center" vertical="top" wrapText="1"/>
    </xf>
    <xf numFmtId="165" fontId="11" fillId="3" borderId="2" xfId="0" applyNumberFormat="1" applyFont="1" applyFill="1" applyBorder="1" applyAlignment="1">
      <alignment horizontal="right" wrapText="1"/>
    </xf>
    <xf numFmtId="165" fontId="13" fillId="3" borderId="2" xfId="0" applyNumberFormat="1" applyFont="1" applyFill="1" applyBorder="1" applyAlignment="1">
      <alignment horizontal="right" wrapText="1"/>
    </xf>
    <xf numFmtId="165" fontId="6" fillId="0" borderId="31" xfId="1" applyNumberFormat="1" applyFont="1" applyFill="1" applyBorder="1" applyAlignment="1" applyProtection="1">
      <alignment horizontal="right" vertical="top" wrapText="1"/>
      <protection locked="0"/>
    </xf>
    <xf numFmtId="165" fontId="7" fillId="0" borderId="29" xfId="0" applyNumberFormat="1" applyFont="1" applyFill="1" applyBorder="1" applyAlignment="1" applyProtection="1">
      <alignment horizontal="right" vertical="top" wrapText="1"/>
      <protection locked="0"/>
    </xf>
    <xf numFmtId="165" fontId="6" fillId="0" borderId="50" xfId="1" applyNumberFormat="1" applyFont="1" applyFill="1" applyBorder="1" applyAlignment="1" applyProtection="1">
      <alignment horizontal="right" vertical="top" wrapText="1"/>
      <protection locked="0"/>
    </xf>
    <xf numFmtId="165" fontId="7" fillId="0" borderId="52" xfId="0" applyNumberFormat="1" applyFont="1" applyFill="1" applyBorder="1" applyAlignment="1" applyProtection="1">
      <alignment horizontal="right" vertical="top" wrapText="1"/>
      <protection locked="0"/>
    </xf>
    <xf numFmtId="165" fontId="7" fillId="0" borderId="53" xfId="0" applyNumberFormat="1" applyFont="1" applyFill="1" applyBorder="1" applyAlignment="1" applyProtection="1">
      <alignment horizontal="right" vertical="top" wrapText="1"/>
      <protection locked="0"/>
    </xf>
    <xf numFmtId="166" fontId="6" fillId="0" borderId="0" xfId="0" applyNumberFormat="1" applyFont="1"/>
    <xf numFmtId="164" fontId="6" fillId="0" borderId="0" xfId="0" applyNumberFormat="1" applyFont="1" applyAlignment="1">
      <alignment horizontal="right"/>
    </xf>
    <xf numFmtId="165" fontId="18" fillId="0" borderId="0" xfId="0" applyNumberFormat="1" applyFont="1" applyAlignment="1">
      <alignment horizontal="right"/>
    </xf>
    <xf numFmtId="165" fontId="19" fillId="0" borderId="1" xfId="0" applyNumberFormat="1" applyFont="1" applyBorder="1" applyAlignment="1">
      <alignment horizontal="right" vertical="top"/>
    </xf>
    <xf numFmtId="165" fontId="12" fillId="3" borderId="2" xfId="0" applyNumberFormat="1" applyFont="1" applyFill="1" applyBorder="1" applyAlignment="1">
      <alignment horizontal="right" wrapText="1"/>
    </xf>
    <xf numFmtId="165" fontId="7" fillId="0" borderId="8" xfId="0" applyNumberFormat="1" applyFont="1" applyFill="1" applyBorder="1" applyAlignment="1" applyProtection="1">
      <alignment horizontal="right" vertical="top" wrapText="1"/>
      <protection locked="0"/>
    </xf>
    <xf numFmtId="165" fontId="7" fillId="0" borderId="0" xfId="0" applyNumberFormat="1" applyFont="1" applyAlignment="1">
      <alignment horizontal="right"/>
    </xf>
    <xf numFmtId="165" fontId="7" fillId="0" borderId="32" xfId="0" applyNumberFormat="1" applyFont="1" applyFill="1" applyBorder="1" applyAlignment="1" applyProtection="1">
      <alignment horizontal="right" vertical="top" wrapText="1"/>
      <protection locked="0"/>
    </xf>
    <xf numFmtId="165" fontId="7" fillId="0" borderId="51" xfId="0" applyNumberFormat="1" applyFont="1" applyFill="1" applyBorder="1" applyAlignment="1" applyProtection="1">
      <alignment horizontal="right" vertical="top" wrapText="1"/>
      <protection locked="0"/>
    </xf>
    <xf numFmtId="165" fontId="6" fillId="2" borderId="55" xfId="0" applyNumberFormat="1" applyFont="1" applyFill="1" applyBorder="1" applyAlignment="1">
      <alignment horizontal="center" vertical="center" wrapText="1"/>
    </xf>
    <xf numFmtId="165" fontId="6" fillId="0" borderId="59" xfId="0" applyNumberFormat="1" applyFont="1" applyFill="1" applyBorder="1" applyAlignment="1">
      <alignment horizontal="right" vertical="top" wrapText="1"/>
    </xf>
    <xf numFmtId="165" fontId="6" fillId="0" borderId="60" xfId="0" applyNumberFormat="1" applyFont="1" applyFill="1" applyBorder="1" applyAlignment="1">
      <alignment horizontal="right" vertical="top" wrapText="1"/>
    </xf>
    <xf numFmtId="165" fontId="6" fillId="0" borderId="61" xfId="0" applyNumberFormat="1" applyFont="1" applyFill="1" applyBorder="1" applyAlignment="1">
      <alignment horizontal="right" vertical="top" wrapText="1"/>
    </xf>
    <xf numFmtId="165" fontId="6" fillId="0" borderId="62" xfId="0" applyNumberFormat="1" applyFont="1" applyFill="1" applyBorder="1" applyAlignment="1" applyProtection="1">
      <alignment horizontal="right" vertical="top" wrapText="1"/>
      <protection locked="0"/>
    </xf>
    <xf numFmtId="165" fontId="6" fillId="0" borderId="62" xfId="0" applyNumberFormat="1" applyFont="1" applyFill="1" applyBorder="1" applyAlignment="1" applyProtection="1">
      <alignment horizontal="right" vertical="top"/>
      <protection locked="0"/>
    </xf>
    <xf numFmtId="3" fontId="13" fillId="0" borderId="57" xfId="0" applyNumberFormat="1" applyFont="1" applyBorder="1" applyAlignment="1">
      <alignment horizontal="center" wrapText="1"/>
    </xf>
    <xf numFmtId="3" fontId="13" fillId="3" borderId="63" xfId="0" applyNumberFormat="1" applyFont="1" applyFill="1" applyBorder="1" applyAlignment="1">
      <alignment horizontal="center" wrapText="1"/>
    </xf>
    <xf numFmtId="3" fontId="6" fillId="0" borderId="48" xfId="0" applyNumberFormat="1" applyFont="1" applyFill="1" applyBorder="1" applyAlignment="1">
      <alignment horizontal="center" vertical="top" wrapText="1"/>
    </xf>
    <xf numFmtId="3" fontId="6" fillId="0" borderId="49" xfId="0" applyNumberFormat="1" applyFont="1" applyFill="1" applyBorder="1" applyAlignment="1">
      <alignment horizontal="center" vertical="top" wrapText="1"/>
    </xf>
    <xf numFmtId="3" fontId="6" fillId="0" borderId="49" xfId="0" applyNumberFormat="1" applyFont="1" applyFill="1" applyBorder="1" applyAlignment="1" applyProtection="1">
      <alignment horizontal="center" vertical="top"/>
      <protection locked="0"/>
    </xf>
    <xf numFmtId="3" fontId="6" fillId="0" borderId="36" xfId="0" applyNumberFormat="1" applyFont="1" applyFill="1" applyBorder="1" applyAlignment="1" applyProtection="1">
      <alignment horizontal="center" vertical="top" wrapText="1"/>
      <protection locked="0"/>
    </xf>
    <xf numFmtId="3" fontId="6" fillId="0" borderId="44" xfId="0" applyNumberFormat="1" applyFont="1" applyFill="1" applyBorder="1" applyAlignment="1" applyProtection="1">
      <alignment horizontal="center" vertical="top" wrapText="1"/>
      <protection locked="0"/>
    </xf>
    <xf numFmtId="165" fontId="6" fillId="2" borderId="67" xfId="0" applyNumberFormat="1" applyFont="1" applyFill="1" applyBorder="1" applyAlignment="1">
      <alignment horizontal="center" vertical="center" wrapText="1"/>
    </xf>
    <xf numFmtId="3" fontId="9" fillId="0" borderId="36" xfId="1" applyNumberFormat="1" applyFont="1" applyFill="1" applyBorder="1" applyAlignment="1" applyProtection="1">
      <alignment horizontal="right" wrapText="1"/>
      <protection locked="0"/>
    </xf>
    <xf numFmtId="3" fontId="9" fillId="0" borderId="41" xfId="1" applyNumberFormat="1" applyFont="1" applyFill="1" applyBorder="1" applyAlignment="1" applyProtection="1">
      <alignment horizontal="right"/>
      <protection locked="0"/>
    </xf>
    <xf numFmtId="3" fontId="13" fillId="3" borderId="68" xfId="0" applyNumberFormat="1" applyFont="1" applyFill="1" applyBorder="1" applyAlignment="1">
      <alignment horizontal="center" wrapText="1"/>
    </xf>
    <xf numFmtId="165" fontId="13" fillId="3" borderId="65" xfId="0" applyNumberFormat="1" applyFont="1" applyFill="1" applyBorder="1" applyAlignment="1">
      <alignment horizontal="right" wrapText="1"/>
    </xf>
    <xf numFmtId="165" fontId="12" fillId="3" borderId="65" xfId="0" applyNumberFormat="1" applyFont="1" applyFill="1" applyBorder="1" applyAlignment="1">
      <alignment horizontal="right" wrapText="1"/>
    </xf>
    <xf numFmtId="165" fontId="13" fillId="3" borderId="66" xfId="0" applyNumberFormat="1" applyFont="1" applyFill="1" applyBorder="1" applyAlignment="1">
      <alignment horizontal="right" wrapText="1"/>
    </xf>
    <xf numFmtId="3" fontId="6" fillId="0" borderId="34" xfId="1" applyNumberFormat="1" applyFont="1" applyFill="1" applyBorder="1" applyAlignment="1" applyProtection="1">
      <alignment horizontal="center" vertical="top"/>
      <protection locked="0"/>
    </xf>
    <xf numFmtId="165" fontId="6" fillId="0" borderId="69" xfId="0" applyNumberFormat="1" applyFont="1" applyFill="1" applyBorder="1" applyAlignment="1">
      <alignment horizontal="right" vertical="top" wrapText="1"/>
    </xf>
    <xf numFmtId="3" fontId="6" fillId="0" borderId="37" xfId="1" applyNumberFormat="1" applyFont="1" applyFill="1" applyBorder="1" applyAlignment="1" applyProtection="1">
      <alignment horizontal="center" vertical="top"/>
      <protection locked="0"/>
    </xf>
    <xf numFmtId="165" fontId="6" fillId="0" borderId="54" xfId="0" applyNumberFormat="1" applyFont="1" applyFill="1" applyBorder="1" applyAlignment="1">
      <alignment horizontal="right" vertical="top" wrapText="1"/>
    </xf>
    <xf numFmtId="3" fontId="6" fillId="0" borderId="46" xfId="1" applyNumberFormat="1" applyFont="1" applyFill="1" applyBorder="1" applyAlignment="1" applyProtection="1">
      <alignment horizontal="center" vertical="top"/>
      <protection locked="0"/>
    </xf>
    <xf numFmtId="3" fontId="6" fillId="0" borderId="34" xfId="0" applyNumberFormat="1" applyFont="1" applyFill="1" applyBorder="1" applyAlignment="1" applyProtection="1">
      <alignment horizontal="center" vertical="top"/>
      <protection locked="0"/>
    </xf>
    <xf numFmtId="165" fontId="7" fillId="0" borderId="70" xfId="0" applyNumberFormat="1" applyFont="1" applyFill="1" applyBorder="1" applyAlignment="1" applyProtection="1">
      <alignment horizontal="right" vertical="top" wrapText="1"/>
      <protection locked="0"/>
    </xf>
    <xf numFmtId="3" fontId="6" fillId="0" borderId="37" xfId="0" applyNumberFormat="1" applyFont="1" applyFill="1" applyBorder="1" applyAlignment="1" applyProtection="1">
      <alignment horizontal="center" vertical="top"/>
      <protection locked="0"/>
    </xf>
    <xf numFmtId="3" fontId="6" fillId="0" borderId="46" xfId="0" applyNumberFormat="1" applyFont="1" applyFill="1" applyBorder="1" applyAlignment="1" applyProtection="1">
      <alignment horizontal="center" vertical="top"/>
      <protection locked="0"/>
    </xf>
    <xf numFmtId="165" fontId="6" fillId="0" borderId="71" xfId="0" applyNumberFormat="1" applyFont="1" applyFill="1" applyBorder="1" applyAlignment="1" applyProtection="1">
      <alignment horizontal="right" vertical="top" wrapText="1"/>
      <protection locked="0"/>
    </xf>
    <xf numFmtId="3" fontId="6" fillId="0" borderId="37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71" xfId="0" applyNumberFormat="1" applyFont="1" applyFill="1" applyBorder="1" applyAlignment="1" applyProtection="1">
      <alignment horizontal="right" vertical="top"/>
      <protection locked="0"/>
    </xf>
    <xf numFmtId="3" fontId="6" fillId="0" borderId="72" xfId="0" applyNumberFormat="1" applyFont="1" applyFill="1" applyBorder="1" applyAlignment="1" applyProtection="1">
      <alignment horizontal="center" vertical="top" wrapText="1"/>
      <protection locked="0"/>
    </xf>
    <xf numFmtId="3" fontId="6" fillId="0" borderId="73" xfId="0" applyNumberFormat="1" applyFont="1" applyFill="1" applyBorder="1" applyAlignment="1" applyProtection="1">
      <alignment horizontal="center" vertical="top" wrapText="1"/>
      <protection locked="0"/>
    </xf>
    <xf numFmtId="3" fontId="6" fillId="0" borderId="76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28" xfId="0" applyNumberFormat="1" applyFont="1" applyFill="1" applyBorder="1" applyAlignment="1" applyProtection="1">
      <alignment horizontal="right" vertical="top"/>
      <protection locked="0"/>
    </xf>
    <xf numFmtId="165" fontId="7" fillId="0" borderId="42" xfId="0" applyNumberFormat="1" applyFont="1" applyFill="1" applyBorder="1" applyAlignment="1">
      <alignment horizontal="right" vertical="top"/>
    </xf>
    <xf numFmtId="165" fontId="7" fillId="0" borderId="26" xfId="0" applyNumberFormat="1" applyFont="1" applyFill="1" applyBorder="1" applyAlignment="1" applyProtection="1">
      <alignment horizontal="right" vertical="top" wrapText="1"/>
      <protection locked="0"/>
    </xf>
    <xf numFmtId="0" fontId="6" fillId="0" borderId="78" xfId="0" applyFont="1" applyFill="1" applyBorder="1" applyAlignment="1">
      <alignment horizontal="left" vertical="top" wrapText="1"/>
    </xf>
    <xf numFmtId="0" fontId="6" fillId="0" borderId="27" xfId="0" applyFont="1" applyFill="1" applyBorder="1" applyAlignment="1">
      <alignment horizontal="left" vertical="top" wrapText="1"/>
    </xf>
    <xf numFmtId="165" fontId="6" fillId="0" borderId="79" xfId="0" applyNumberFormat="1" applyFont="1" applyFill="1" applyBorder="1" applyAlignment="1">
      <alignment horizontal="right" vertical="top" wrapText="1"/>
    </xf>
    <xf numFmtId="165" fontId="6" fillId="0" borderId="77" xfId="0" applyNumberFormat="1" applyFont="1" applyFill="1" applyBorder="1" applyAlignment="1" applyProtection="1">
      <alignment horizontal="right" vertical="top" wrapText="1"/>
      <protection locked="0"/>
    </xf>
    <xf numFmtId="165" fontId="7" fillId="0" borderId="75" xfId="0" applyNumberFormat="1" applyFont="1" applyFill="1" applyBorder="1" applyAlignment="1" applyProtection="1">
      <alignment horizontal="right" vertical="top" wrapText="1"/>
      <protection locked="0"/>
    </xf>
    <xf numFmtId="165" fontId="6" fillId="0" borderId="74" xfId="0" applyNumberFormat="1" applyFont="1" applyFill="1" applyBorder="1" applyAlignment="1">
      <alignment horizontal="right" vertical="top" wrapText="1"/>
    </xf>
    <xf numFmtId="3" fontId="6" fillId="0" borderId="64" xfId="0" applyNumberFormat="1" applyFont="1" applyFill="1" applyBorder="1" applyAlignment="1" applyProtection="1">
      <alignment horizontal="center" vertical="top" wrapText="1"/>
      <protection locked="0"/>
    </xf>
    <xf numFmtId="3" fontId="6" fillId="0" borderId="84" xfId="0" applyNumberFormat="1" applyFont="1" applyFill="1" applyBorder="1" applyAlignment="1" applyProtection="1">
      <alignment horizontal="center" vertical="top" wrapText="1"/>
      <protection locked="0"/>
    </xf>
    <xf numFmtId="3" fontId="6" fillId="0" borderId="86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87" xfId="0" applyNumberFormat="1" applyFont="1" applyFill="1" applyBorder="1" applyAlignment="1" applyProtection="1">
      <alignment horizontal="right" vertical="top" wrapText="1"/>
      <protection locked="0"/>
    </xf>
    <xf numFmtId="165" fontId="6" fillId="0" borderId="24" xfId="0" applyNumberFormat="1" applyFont="1" applyFill="1" applyBorder="1" applyAlignment="1" applyProtection="1">
      <alignment horizontal="right" vertical="top" wrapText="1"/>
      <protection locked="0"/>
    </xf>
    <xf numFmtId="165" fontId="6" fillId="0" borderId="89" xfId="0" applyNumberFormat="1" applyFont="1" applyFill="1" applyBorder="1" applyAlignment="1" applyProtection="1">
      <alignment horizontal="right" vertical="top" wrapText="1"/>
      <protection locked="0"/>
    </xf>
    <xf numFmtId="3" fontId="6" fillId="0" borderId="90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91" xfId="0" applyNumberFormat="1" applyFont="1" applyFill="1" applyBorder="1" applyAlignment="1" applyProtection="1">
      <alignment horizontal="right" vertical="top" wrapText="1"/>
      <protection locked="0"/>
    </xf>
    <xf numFmtId="3" fontId="6" fillId="0" borderId="92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27" xfId="0" applyNumberFormat="1" applyFont="1" applyFill="1" applyBorder="1" applyAlignment="1" applyProtection="1">
      <alignment horizontal="right" vertical="top" wrapText="1"/>
      <protection locked="0"/>
    </xf>
    <xf numFmtId="165" fontId="6" fillId="0" borderId="80" xfId="1" applyNumberFormat="1" applyFont="1" applyFill="1" applyBorder="1" applyAlignment="1" applyProtection="1">
      <alignment horizontal="right" vertical="top" wrapText="1"/>
      <protection locked="0"/>
    </xf>
    <xf numFmtId="165" fontId="7" fillId="0" borderId="93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0" xfId="0" applyNumberFormat="1" applyFont="1" applyFill="1" applyBorder="1" applyAlignment="1" applyProtection="1">
      <alignment horizontal="right" vertical="top" wrapText="1"/>
      <protection locked="0"/>
    </xf>
    <xf numFmtId="165" fontId="6" fillId="0" borderId="95" xfId="0" applyNumberFormat="1" applyFont="1" applyFill="1" applyBorder="1" applyAlignment="1" applyProtection="1">
      <alignment horizontal="right" vertical="top" wrapText="1"/>
      <protection locked="0"/>
    </xf>
    <xf numFmtId="3" fontId="6" fillId="0" borderId="20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96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9" xfId="0" applyNumberFormat="1" applyFont="1" applyFill="1" applyBorder="1" applyAlignment="1" applyProtection="1">
      <alignment horizontal="right" vertical="top" wrapText="1"/>
      <protection locked="0"/>
    </xf>
    <xf numFmtId="165" fontId="7" fillId="0" borderId="97" xfId="0" applyNumberFormat="1" applyFont="1" applyFill="1" applyBorder="1" applyAlignment="1" applyProtection="1">
      <alignment horizontal="right" vertical="top" wrapText="1"/>
      <protection locked="0"/>
    </xf>
    <xf numFmtId="165" fontId="6" fillId="0" borderId="98" xfId="0" applyNumberFormat="1" applyFont="1" applyFill="1" applyBorder="1" applyAlignment="1" applyProtection="1">
      <alignment horizontal="right" vertical="top" wrapText="1"/>
      <protection locked="0"/>
    </xf>
    <xf numFmtId="165" fontId="6" fillId="0" borderId="99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00" xfId="0" applyNumberFormat="1" applyFont="1" applyFill="1" applyBorder="1" applyAlignment="1" applyProtection="1">
      <alignment horizontal="right" vertical="top" wrapText="1"/>
      <protection locked="0"/>
    </xf>
    <xf numFmtId="165" fontId="7" fillId="0" borderId="102" xfId="0" applyNumberFormat="1" applyFont="1" applyFill="1" applyBorder="1" applyAlignment="1" applyProtection="1">
      <alignment horizontal="right" vertical="top" wrapText="1"/>
      <protection locked="0"/>
    </xf>
    <xf numFmtId="165" fontId="7" fillId="0" borderId="19" xfId="0" applyNumberFormat="1" applyFont="1" applyFill="1" applyBorder="1" applyAlignment="1" applyProtection="1">
      <alignment horizontal="right" vertical="top" wrapText="1"/>
      <protection locked="0"/>
    </xf>
    <xf numFmtId="3" fontId="6" fillId="0" borderId="88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84" xfId="0" applyNumberFormat="1" applyFont="1" applyFill="1" applyBorder="1" applyAlignment="1" applyProtection="1">
      <alignment horizontal="right" vertical="top" wrapText="1"/>
      <protection locked="0"/>
    </xf>
    <xf numFmtId="165" fontId="6" fillId="2" borderId="82" xfId="0" applyNumberFormat="1" applyFont="1" applyFill="1" applyBorder="1" applyAlignment="1">
      <alignment horizontal="center" vertical="center" wrapText="1"/>
    </xf>
    <xf numFmtId="165" fontId="6" fillId="2" borderId="104" xfId="0" applyNumberFormat="1" applyFont="1" applyFill="1" applyBorder="1" applyAlignment="1">
      <alignment horizontal="center" vertical="center" wrapText="1"/>
    </xf>
    <xf numFmtId="165" fontId="6" fillId="2" borderId="105" xfId="0" applyNumberFormat="1" applyFont="1" applyFill="1" applyBorder="1" applyAlignment="1">
      <alignment horizontal="center" vertical="center" wrapText="1"/>
    </xf>
    <xf numFmtId="165" fontId="7" fillId="0" borderId="103" xfId="0" applyNumberFormat="1" applyFont="1" applyFill="1" applyBorder="1" applyAlignment="1">
      <alignment horizontal="center" vertical="center" wrapText="1"/>
    </xf>
    <xf numFmtId="165" fontId="7" fillId="0" borderId="77" xfId="0" applyNumberFormat="1" applyFont="1" applyFill="1" applyBorder="1" applyAlignment="1" applyProtection="1">
      <alignment horizontal="right" vertical="top" wrapText="1"/>
      <protection locked="0"/>
    </xf>
    <xf numFmtId="3" fontId="6" fillId="0" borderId="75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106" xfId="0" applyNumberFormat="1" applyFont="1" applyFill="1" applyBorder="1" applyAlignment="1" applyProtection="1">
      <alignment horizontal="right" vertical="top" wrapText="1"/>
      <protection locked="0"/>
    </xf>
    <xf numFmtId="165" fontId="6" fillId="0" borderId="84" xfId="0" applyNumberFormat="1" applyFont="1" applyFill="1" applyBorder="1" applyAlignment="1" applyProtection="1">
      <alignment horizontal="center" vertical="top" wrapText="1"/>
      <protection locked="0"/>
    </xf>
    <xf numFmtId="165" fontId="7" fillId="0" borderId="107" xfId="0" applyNumberFormat="1" applyFont="1" applyFill="1" applyBorder="1" applyAlignment="1" applyProtection="1">
      <alignment horizontal="right" vertical="top" wrapText="1"/>
      <protection locked="0"/>
    </xf>
    <xf numFmtId="165" fontId="7" fillId="0" borderId="85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07" xfId="0" applyNumberFormat="1" applyFont="1" applyFill="1" applyBorder="1" applyAlignment="1" applyProtection="1">
      <alignment horizontal="center" vertical="top" wrapText="1"/>
      <protection locked="0"/>
    </xf>
    <xf numFmtId="0" fontId="6" fillId="0" borderId="102" xfId="0" applyFont="1" applyFill="1" applyBorder="1" applyAlignment="1">
      <alignment horizontal="left" vertical="top" wrapText="1"/>
    </xf>
    <xf numFmtId="0" fontId="6" fillId="0" borderId="101" xfId="1" applyFont="1" applyFill="1" applyBorder="1" applyAlignment="1" applyProtection="1">
      <alignment horizontal="center" vertical="top"/>
      <protection locked="0"/>
    </xf>
    <xf numFmtId="165" fontId="6" fillId="0" borderId="120" xfId="1" applyNumberFormat="1" applyFont="1" applyFill="1" applyBorder="1" applyAlignment="1" applyProtection="1">
      <alignment horizontal="right" vertical="top" wrapText="1"/>
      <protection locked="0"/>
    </xf>
    <xf numFmtId="165" fontId="6" fillId="0" borderId="119" xfId="1" applyNumberFormat="1" applyFont="1" applyFill="1" applyBorder="1" applyAlignment="1" applyProtection="1">
      <alignment horizontal="right" vertical="top" wrapText="1"/>
      <protection locked="0"/>
    </xf>
    <xf numFmtId="165" fontId="6" fillId="0" borderId="102" xfId="1" applyNumberFormat="1" applyFont="1" applyFill="1" applyBorder="1" applyAlignment="1" applyProtection="1">
      <alignment horizontal="right" vertical="top" wrapText="1"/>
      <protection locked="0"/>
    </xf>
    <xf numFmtId="165" fontId="7" fillId="0" borderId="122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23" xfId="0" applyNumberFormat="1" applyFont="1" applyFill="1" applyBorder="1" applyAlignment="1">
      <alignment horizontal="right" vertical="top" wrapText="1"/>
    </xf>
    <xf numFmtId="3" fontId="6" fillId="0" borderId="124" xfId="1" applyNumberFormat="1" applyFont="1" applyFill="1" applyBorder="1" applyAlignment="1" applyProtection="1">
      <alignment horizontal="center" vertical="top"/>
      <protection locked="0"/>
    </xf>
    <xf numFmtId="165" fontId="6" fillId="0" borderId="125" xfId="0" applyNumberFormat="1" applyFont="1" applyFill="1" applyBorder="1" applyAlignment="1">
      <alignment horizontal="right" vertical="top" wrapText="1"/>
    </xf>
    <xf numFmtId="3" fontId="6" fillId="0" borderId="126" xfId="1" applyNumberFormat="1" applyFont="1" applyFill="1" applyBorder="1" applyAlignment="1" applyProtection="1">
      <alignment horizontal="center" vertical="top"/>
      <protection locked="0"/>
    </xf>
    <xf numFmtId="3" fontId="13" fillId="3" borderId="129" xfId="0" applyNumberFormat="1" applyFont="1" applyFill="1" applyBorder="1" applyAlignment="1" applyProtection="1">
      <alignment horizontal="center" wrapText="1"/>
    </xf>
    <xf numFmtId="165" fontId="11" fillId="3" borderId="127" xfId="0" applyNumberFormat="1" applyFont="1" applyFill="1" applyBorder="1" applyAlignment="1" applyProtection="1">
      <alignment horizontal="right" wrapText="1"/>
    </xf>
    <xf numFmtId="165" fontId="12" fillId="3" borderId="127" xfId="0" applyNumberFormat="1" applyFont="1" applyFill="1" applyBorder="1" applyAlignment="1" applyProtection="1">
      <alignment horizontal="right" wrapText="1"/>
    </xf>
    <xf numFmtId="165" fontId="13" fillId="3" borderId="127" xfId="0" applyNumberFormat="1" applyFont="1" applyFill="1" applyBorder="1" applyAlignment="1">
      <alignment horizontal="right" wrapText="1"/>
    </xf>
    <xf numFmtId="3" fontId="13" fillId="3" borderId="130" xfId="0" applyNumberFormat="1" applyFont="1" applyFill="1" applyBorder="1" applyAlignment="1">
      <alignment horizontal="center" wrapText="1"/>
    </xf>
    <xf numFmtId="165" fontId="13" fillId="3" borderId="128" xfId="0" applyNumberFormat="1" applyFont="1" applyFill="1" applyBorder="1" applyAlignment="1">
      <alignment horizontal="right" wrapText="1"/>
    </xf>
    <xf numFmtId="3" fontId="13" fillId="3" borderId="131" xfId="0" applyNumberFormat="1" applyFont="1" applyFill="1" applyBorder="1" applyAlignment="1">
      <alignment horizontal="center" wrapText="1"/>
    </xf>
    <xf numFmtId="165" fontId="6" fillId="0" borderId="119" xfId="0" applyNumberFormat="1" applyFont="1" applyFill="1" applyBorder="1" applyAlignment="1" applyProtection="1">
      <alignment horizontal="right" vertical="top" wrapText="1"/>
      <protection locked="0"/>
    </xf>
    <xf numFmtId="3" fontId="6" fillId="0" borderId="121" xfId="0" applyNumberFormat="1" applyFont="1" applyFill="1" applyBorder="1" applyAlignment="1" applyProtection="1">
      <alignment horizontal="center" vertical="top" wrapText="1"/>
      <protection locked="0"/>
    </xf>
    <xf numFmtId="3" fontId="6" fillId="0" borderId="124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133" xfId="0" applyNumberFormat="1" applyFont="1" applyFill="1" applyBorder="1" applyAlignment="1" applyProtection="1">
      <alignment horizontal="right" vertical="top" wrapText="1"/>
      <protection locked="0"/>
    </xf>
    <xf numFmtId="0" fontId="6" fillId="0" borderId="19" xfId="0" applyFont="1" applyFill="1" applyBorder="1" applyAlignment="1">
      <alignment horizontal="left" vertical="top" wrapText="1"/>
    </xf>
    <xf numFmtId="0" fontId="6" fillId="0" borderId="10" xfId="0" applyFont="1" applyFill="1" applyBorder="1" applyAlignment="1" applyProtection="1">
      <alignment horizontal="left" vertical="top" wrapText="1"/>
      <protection locked="0"/>
    </xf>
    <xf numFmtId="0" fontId="6" fillId="0" borderId="11" xfId="0" applyFont="1" applyFill="1" applyBorder="1" applyAlignment="1" applyProtection="1">
      <alignment horizontal="center" vertical="top"/>
      <protection locked="0"/>
    </xf>
    <xf numFmtId="165" fontId="11" fillId="3" borderId="131" xfId="0" applyNumberFormat="1" applyFont="1" applyFill="1" applyBorder="1" applyAlignment="1" applyProtection="1">
      <alignment horizontal="right" wrapText="1"/>
    </xf>
    <xf numFmtId="3" fontId="6" fillId="0" borderId="10" xfId="0" applyNumberFormat="1" applyFont="1" applyFill="1" applyBorder="1" applyAlignment="1" applyProtection="1">
      <alignment horizontal="center" vertical="top" wrapText="1"/>
      <protection locked="0"/>
    </xf>
    <xf numFmtId="165" fontId="12" fillId="3" borderId="131" xfId="0" applyNumberFormat="1" applyFont="1" applyFill="1" applyBorder="1" applyAlignment="1" applyProtection="1">
      <alignment horizontal="right" wrapText="1"/>
    </xf>
    <xf numFmtId="165" fontId="13" fillId="3" borderId="131" xfId="0" applyNumberFormat="1" applyFont="1" applyFill="1" applyBorder="1" applyAlignment="1">
      <alignment horizontal="right" wrapText="1"/>
    </xf>
    <xf numFmtId="3" fontId="6" fillId="0" borderId="137" xfId="0" applyNumberFormat="1" applyFont="1" applyFill="1" applyBorder="1" applyAlignment="1" applyProtection="1">
      <alignment horizontal="center" vertical="top"/>
      <protection locked="0"/>
    </xf>
    <xf numFmtId="165" fontId="6" fillId="0" borderId="96" xfId="0" applyNumberFormat="1" applyFont="1" applyFill="1" applyBorder="1" applyAlignment="1" applyProtection="1">
      <alignment horizontal="right" vertical="top"/>
      <protection locked="0"/>
    </xf>
    <xf numFmtId="165" fontId="6" fillId="0" borderId="11" xfId="0" applyNumberFormat="1" applyFont="1" applyFill="1" applyBorder="1" applyAlignment="1" applyProtection="1">
      <alignment horizontal="right" vertical="top"/>
      <protection locked="0"/>
    </xf>
    <xf numFmtId="165" fontId="6" fillId="0" borderId="12" xfId="0" applyNumberFormat="1" applyFont="1" applyFill="1" applyBorder="1" applyAlignment="1" applyProtection="1">
      <alignment horizontal="right" vertical="top"/>
      <protection locked="0"/>
    </xf>
    <xf numFmtId="165" fontId="7" fillId="0" borderId="138" xfId="0" applyNumberFormat="1" applyFont="1" applyFill="1" applyBorder="1" applyAlignment="1" applyProtection="1">
      <alignment horizontal="right" vertical="top" wrapText="1"/>
      <protection locked="0"/>
    </xf>
    <xf numFmtId="165" fontId="6" fillId="0" borderId="98" xfId="0" applyNumberFormat="1" applyFont="1" applyFill="1" applyBorder="1" applyAlignment="1" applyProtection="1">
      <alignment horizontal="right" vertical="top"/>
      <protection locked="0"/>
    </xf>
    <xf numFmtId="3" fontId="6" fillId="0" borderId="118" xfId="0" applyNumberFormat="1" applyFont="1" applyFill="1" applyBorder="1" applyAlignment="1" applyProtection="1">
      <alignment horizontal="center" vertical="top"/>
      <protection locked="0"/>
    </xf>
    <xf numFmtId="165" fontId="13" fillId="3" borderId="136" xfId="0" applyNumberFormat="1" applyFont="1" applyFill="1" applyBorder="1" applyAlignment="1">
      <alignment horizontal="right" wrapText="1"/>
    </xf>
    <xf numFmtId="165" fontId="13" fillId="3" borderId="127" xfId="0" applyNumberFormat="1" applyFont="1" applyFill="1" applyBorder="1" applyAlignment="1" applyProtection="1">
      <alignment horizontal="right" wrapText="1"/>
    </xf>
    <xf numFmtId="165" fontId="16" fillId="0" borderId="3" xfId="0" applyNumberFormat="1" applyFont="1" applyBorder="1" applyAlignment="1">
      <alignment horizontal="right" wrapText="1"/>
    </xf>
    <xf numFmtId="165" fontId="16" fillId="0" borderId="4" xfId="0" applyNumberFormat="1" applyFont="1" applyBorder="1" applyAlignment="1">
      <alignment horizontal="right" wrapText="1"/>
    </xf>
    <xf numFmtId="165" fontId="13" fillId="3" borderId="135" xfId="0" applyNumberFormat="1" applyFont="1" applyFill="1" applyBorder="1" applyAlignment="1">
      <alignment horizontal="right"/>
    </xf>
    <xf numFmtId="0" fontId="6" fillId="0" borderId="101" xfId="0" applyFont="1" applyFill="1" applyBorder="1" applyAlignment="1" applyProtection="1">
      <alignment horizontal="center" vertical="top" wrapText="1"/>
      <protection locked="0"/>
    </xf>
    <xf numFmtId="3" fontId="6" fillId="0" borderId="94" xfId="0" applyNumberFormat="1" applyFont="1" applyFill="1" applyBorder="1" applyAlignment="1" applyProtection="1">
      <alignment horizontal="center" vertical="top"/>
      <protection locked="0"/>
    </xf>
    <xf numFmtId="165" fontId="6" fillId="0" borderId="10" xfId="0" applyNumberFormat="1" applyFont="1" applyFill="1" applyBorder="1" applyAlignment="1" applyProtection="1">
      <alignment horizontal="right" vertical="top"/>
      <protection locked="0"/>
    </xf>
    <xf numFmtId="165" fontId="6" fillId="0" borderId="95" xfId="0" applyNumberFormat="1" applyFont="1" applyFill="1" applyBorder="1" applyAlignment="1" applyProtection="1">
      <alignment horizontal="right" vertical="top"/>
      <protection locked="0"/>
    </xf>
    <xf numFmtId="3" fontId="13" fillId="3" borderId="131" xfId="0" applyNumberFormat="1" applyFont="1" applyFill="1" applyBorder="1" applyAlignment="1" applyProtection="1">
      <alignment horizontal="center" wrapText="1"/>
    </xf>
    <xf numFmtId="165" fontId="11" fillId="3" borderId="131" xfId="0" applyNumberFormat="1" applyFont="1" applyFill="1" applyBorder="1" applyAlignment="1">
      <alignment horizontal="right" wrapText="1"/>
    </xf>
    <xf numFmtId="165" fontId="12" fillId="3" borderId="131" xfId="0" applyNumberFormat="1" applyFont="1" applyFill="1" applyBorder="1" applyAlignment="1">
      <alignment horizontal="right" wrapText="1"/>
    </xf>
    <xf numFmtId="3" fontId="13" fillId="3" borderId="139" xfId="0" applyNumberFormat="1" applyFont="1" applyFill="1" applyBorder="1" applyAlignment="1">
      <alignment horizontal="center" wrapText="1"/>
    </xf>
    <xf numFmtId="165" fontId="16" fillId="0" borderId="117" xfId="0" applyNumberFormat="1" applyFont="1" applyBorder="1" applyAlignment="1">
      <alignment horizontal="right"/>
    </xf>
    <xf numFmtId="0" fontId="6" fillId="0" borderId="10" xfId="1" applyFont="1" applyFill="1" applyBorder="1" applyAlignment="1" applyProtection="1">
      <alignment horizontal="left" vertical="top" wrapText="1"/>
      <protection locked="0"/>
    </xf>
    <xf numFmtId="0" fontId="6" fillId="0" borderId="11" xfId="1" applyFont="1" applyFill="1" applyBorder="1" applyAlignment="1" applyProtection="1">
      <alignment horizontal="center" vertical="top"/>
      <protection locked="0"/>
    </xf>
    <xf numFmtId="165" fontId="14" fillId="3" borderId="131" xfId="0" applyNumberFormat="1" applyFont="1" applyFill="1" applyBorder="1" applyAlignment="1">
      <alignment horizontal="right" wrapText="1"/>
    </xf>
    <xf numFmtId="165" fontId="3" fillId="0" borderId="0" xfId="0" applyNumberFormat="1" applyFont="1" applyFill="1" applyAlignment="1">
      <alignment horizontal="right"/>
    </xf>
    <xf numFmtId="49" fontId="5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 applyAlignment="1">
      <alignment horizontal="right" vertical="top"/>
    </xf>
    <xf numFmtId="165" fontId="6" fillId="0" borderId="0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right" wrapText="1"/>
    </xf>
    <xf numFmtId="165" fontId="16" fillId="0" borderId="141" xfId="0" applyNumberFormat="1" applyFont="1" applyBorder="1" applyAlignment="1">
      <alignment horizontal="right" wrapText="1"/>
    </xf>
    <xf numFmtId="165" fontId="13" fillId="3" borderId="132" xfId="0" applyNumberFormat="1" applyFont="1" applyFill="1" applyBorder="1" applyAlignment="1">
      <alignment horizontal="right" wrapText="1"/>
    </xf>
    <xf numFmtId="165" fontId="6" fillId="0" borderId="142" xfId="0" applyNumberFormat="1" applyFont="1" applyFill="1" applyBorder="1" applyAlignment="1">
      <alignment horizontal="right" vertical="top" wrapText="1"/>
    </xf>
    <xf numFmtId="165" fontId="13" fillId="3" borderId="143" xfId="0" applyNumberFormat="1" applyFont="1" applyFill="1" applyBorder="1" applyAlignment="1">
      <alignment horizontal="right" wrapText="1"/>
    </xf>
    <xf numFmtId="165" fontId="6" fillId="0" borderId="3" xfId="0" applyNumberFormat="1" applyFont="1" applyFill="1" applyBorder="1" applyAlignment="1">
      <alignment horizontal="right" vertical="top" wrapText="1"/>
    </xf>
    <xf numFmtId="165" fontId="6" fillId="0" borderId="144" xfId="0" applyNumberFormat="1" applyFont="1" applyFill="1" applyBorder="1" applyAlignment="1" applyProtection="1">
      <alignment horizontal="right" vertical="top"/>
      <protection locked="0"/>
    </xf>
    <xf numFmtId="165" fontId="6" fillId="0" borderId="144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46" xfId="0" applyNumberFormat="1" applyFont="1" applyFill="1" applyBorder="1" applyAlignment="1">
      <alignment horizontal="right" vertical="top" wrapText="1"/>
    </xf>
    <xf numFmtId="165" fontId="6" fillId="0" borderId="147" xfId="0" applyNumberFormat="1" applyFont="1" applyFill="1" applyBorder="1" applyAlignment="1">
      <alignment horizontal="right" vertical="top" wrapText="1"/>
    </xf>
    <xf numFmtId="165" fontId="6" fillId="0" borderId="145" xfId="0" applyNumberFormat="1" applyFont="1" applyFill="1" applyBorder="1" applyAlignment="1">
      <alignment horizontal="center" vertical="center" wrapText="1"/>
    </xf>
    <xf numFmtId="165" fontId="6" fillId="0" borderId="148" xfId="0" applyNumberFormat="1" applyFont="1" applyFill="1" applyBorder="1" applyAlignment="1">
      <alignment horizontal="center" vertical="center" wrapText="1"/>
    </xf>
    <xf numFmtId="165" fontId="6" fillId="0" borderId="83" xfId="0" applyNumberFormat="1" applyFont="1" applyFill="1" applyBorder="1" applyAlignment="1">
      <alignment horizontal="center" vertical="center" wrapText="1"/>
    </xf>
    <xf numFmtId="165" fontId="6" fillId="0" borderId="57" xfId="0" applyNumberFormat="1" applyFont="1" applyFill="1" applyBorder="1" applyAlignment="1">
      <alignment horizontal="center" vertical="center" wrapText="1"/>
    </xf>
    <xf numFmtId="165" fontId="6" fillId="0" borderId="83" xfId="0" applyNumberFormat="1" applyFont="1" applyFill="1" applyBorder="1" applyAlignment="1">
      <alignment horizontal="right" vertical="top" wrapText="1"/>
    </xf>
    <xf numFmtId="165" fontId="6" fillId="0" borderId="57" xfId="0" applyNumberFormat="1" applyFont="1" applyFill="1" applyBorder="1" applyAlignment="1">
      <alignment horizontal="right" vertical="top" wrapText="1"/>
    </xf>
    <xf numFmtId="165" fontId="6" fillId="0" borderId="83" xfId="0" applyNumberFormat="1" applyFont="1" applyFill="1" applyBorder="1" applyAlignment="1" applyProtection="1">
      <alignment horizontal="right" vertical="top"/>
      <protection locked="0"/>
    </xf>
    <xf numFmtId="165" fontId="6" fillId="0" borderId="57" xfId="0" applyNumberFormat="1" applyFont="1" applyFill="1" applyBorder="1" applyAlignment="1" applyProtection="1">
      <alignment horizontal="right" vertical="top"/>
      <protection locked="0"/>
    </xf>
    <xf numFmtId="165" fontId="6" fillId="0" borderId="83" xfId="0" applyNumberFormat="1" applyFont="1" applyFill="1" applyBorder="1" applyAlignment="1" applyProtection="1">
      <alignment horizontal="right" vertical="top" wrapText="1"/>
      <protection locked="0"/>
    </xf>
    <xf numFmtId="165" fontId="6" fillId="0" borderId="57" xfId="0" applyNumberFormat="1" applyFont="1" applyFill="1" applyBorder="1" applyAlignment="1" applyProtection="1">
      <alignment horizontal="right" vertical="top" wrapText="1"/>
      <protection locked="0"/>
    </xf>
    <xf numFmtId="165" fontId="13" fillId="0" borderId="140" xfId="0" applyNumberFormat="1" applyFont="1" applyFill="1" applyBorder="1" applyAlignment="1">
      <alignment horizontal="right" wrapText="1"/>
    </xf>
    <xf numFmtId="165" fontId="13" fillId="0" borderId="131" xfId="0" applyNumberFormat="1" applyFont="1" applyFill="1" applyBorder="1" applyAlignment="1">
      <alignment horizontal="right" wrapText="1"/>
    </xf>
    <xf numFmtId="165" fontId="13" fillId="0" borderId="136" xfId="0" applyNumberFormat="1" applyFont="1" applyFill="1" applyBorder="1" applyAlignment="1">
      <alignment horizontal="right" wrapText="1"/>
    </xf>
    <xf numFmtId="165" fontId="13" fillId="0" borderId="0" xfId="0" applyNumberFormat="1" applyFont="1" applyFill="1" applyBorder="1" applyAlignment="1">
      <alignment horizontal="right" wrapText="1"/>
    </xf>
    <xf numFmtId="165" fontId="13" fillId="0" borderId="5" xfId="0" applyNumberFormat="1" applyFont="1" applyFill="1" applyBorder="1" applyAlignment="1">
      <alignment horizontal="right" wrapText="1"/>
    </xf>
    <xf numFmtId="165" fontId="13" fillId="0" borderId="7" xfId="0" applyNumberFormat="1" applyFont="1" applyFill="1" applyBorder="1" applyAlignment="1">
      <alignment horizontal="right" wrapText="1"/>
    </xf>
    <xf numFmtId="165" fontId="13" fillId="0" borderId="135" xfId="0" applyNumberFormat="1" applyFont="1" applyFill="1" applyBorder="1" applyAlignment="1">
      <alignment horizontal="right"/>
    </xf>
    <xf numFmtId="3" fontId="13" fillId="0" borderId="0" xfId="0" applyNumberFormat="1" applyFont="1" applyFill="1" applyBorder="1" applyAlignment="1" applyProtection="1">
      <alignment horizontal="center" wrapText="1"/>
    </xf>
    <xf numFmtId="165" fontId="11" fillId="0" borderId="0" xfId="0" applyNumberFormat="1" applyFont="1" applyFill="1" applyBorder="1" applyAlignment="1" applyProtection="1">
      <alignment horizontal="right" wrapText="1"/>
    </xf>
    <xf numFmtId="165" fontId="12" fillId="0" borderId="0" xfId="0" applyNumberFormat="1" applyFont="1" applyFill="1" applyBorder="1" applyAlignment="1" applyProtection="1">
      <alignment horizontal="right" wrapText="1"/>
    </xf>
    <xf numFmtId="3" fontId="13" fillId="0" borderId="3" xfId="0" applyNumberFormat="1" applyFont="1" applyFill="1" applyBorder="1" applyAlignment="1">
      <alignment horizontal="center" wrapText="1"/>
    </xf>
    <xf numFmtId="3" fontId="13" fillId="0" borderId="0" xfId="0" applyNumberFormat="1" applyFont="1" applyFill="1" applyBorder="1" applyAlignment="1">
      <alignment horizontal="center" wrapText="1"/>
    </xf>
    <xf numFmtId="4" fontId="20" fillId="0" borderId="0" xfId="0" applyNumberFormat="1" applyFont="1" applyAlignment="1">
      <alignment horizontal="right"/>
    </xf>
    <xf numFmtId="165" fontId="12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right"/>
    </xf>
    <xf numFmtId="165" fontId="11" fillId="0" borderId="131" xfId="0" applyNumberFormat="1" applyFont="1" applyFill="1" applyBorder="1" applyAlignment="1">
      <alignment horizontal="right" wrapText="1"/>
    </xf>
    <xf numFmtId="165" fontId="8" fillId="0" borderId="0" xfId="0" applyNumberFormat="1" applyFont="1" applyBorder="1"/>
    <xf numFmtId="165" fontId="13" fillId="0" borderId="56" xfId="0" applyNumberFormat="1" applyFont="1" applyFill="1" applyBorder="1" applyAlignment="1">
      <alignment horizontal="right" wrapText="1"/>
    </xf>
    <xf numFmtId="3" fontId="7" fillId="0" borderId="47" xfId="1" applyNumberFormat="1" applyFont="1" applyFill="1" applyBorder="1" applyAlignment="1" applyProtection="1">
      <alignment horizontal="center" vertical="top" wrapText="1"/>
      <protection locked="0"/>
    </xf>
    <xf numFmtId="3" fontId="6" fillId="0" borderId="38" xfId="1" applyNumberFormat="1" applyFont="1" applyFill="1" applyBorder="1" applyAlignment="1" applyProtection="1">
      <alignment horizontal="center" vertical="top" wrapText="1"/>
      <protection locked="0"/>
    </xf>
    <xf numFmtId="3" fontId="6" fillId="0" borderId="81" xfId="1" applyNumberFormat="1" applyFont="1" applyFill="1" applyBorder="1" applyAlignment="1" applyProtection="1">
      <alignment horizontal="center" vertical="top" wrapText="1"/>
      <protection locked="0"/>
    </xf>
    <xf numFmtId="3" fontId="6" fillId="0" borderId="121" xfId="1" applyNumberFormat="1" applyFont="1" applyFill="1" applyBorder="1" applyAlignment="1" applyProtection="1">
      <alignment horizontal="center" vertical="top" wrapText="1"/>
      <protection locked="0"/>
    </xf>
    <xf numFmtId="165" fontId="13" fillId="0" borderId="127" xfId="0" applyNumberFormat="1" applyFont="1" applyFill="1" applyBorder="1" applyAlignment="1">
      <alignment horizontal="right" wrapText="1"/>
    </xf>
    <xf numFmtId="3" fontId="7" fillId="0" borderId="118" xfId="0" applyNumberFormat="1" applyFont="1" applyFill="1" applyBorder="1" applyAlignment="1" applyProtection="1">
      <alignment horizontal="center" vertical="top"/>
      <protection locked="0"/>
    </xf>
    <xf numFmtId="3" fontId="7" fillId="0" borderId="49" xfId="0" applyNumberFormat="1" applyFont="1" applyFill="1" applyBorder="1" applyAlignment="1" applyProtection="1">
      <alignment horizontal="center" vertical="top"/>
      <protection locked="0"/>
    </xf>
    <xf numFmtId="3" fontId="7" fillId="0" borderId="49" xfId="0" applyNumberFormat="1" applyFont="1" applyFill="1" applyBorder="1" applyAlignment="1" applyProtection="1">
      <alignment horizontal="center" vertical="top" wrapText="1"/>
      <protection locked="0"/>
    </xf>
    <xf numFmtId="3" fontId="7" fillId="0" borderId="126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12" xfId="0" applyNumberFormat="1" applyFont="1" applyFill="1" applyBorder="1" applyAlignment="1" applyProtection="1">
      <alignment horizontal="right" vertical="top" wrapText="1"/>
      <protection locked="0"/>
    </xf>
    <xf numFmtId="3" fontId="6" fillId="0" borderId="48" xfId="1" applyNumberFormat="1" applyFont="1" applyFill="1" applyBorder="1" applyAlignment="1" applyProtection="1">
      <alignment horizontal="center" vertical="top" wrapText="1"/>
      <protection locked="0"/>
    </xf>
    <xf numFmtId="3" fontId="6" fillId="0" borderId="49" xfId="1" applyNumberFormat="1" applyFont="1" applyFill="1" applyBorder="1" applyAlignment="1" applyProtection="1">
      <alignment horizontal="center" vertical="top" wrapText="1"/>
      <protection locked="0"/>
    </xf>
    <xf numFmtId="3" fontId="6" fillId="0" borderId="47" xfId="1" applyNumberFormat="1" applyFont="1" applyFill="1" applyBorder="1" applyAlignment="1" applyProtection="1">
      <alignment horizontal="center" vertical="top" wrapText="1"/>
      <protection locked="0"/>
    </xf>
    <xf numFmtId="165" fontId="6" fillId="0" borderId="12" xfId="1" applyNumberFormat="1" applyFont="1" applyFill="1" applyBorder="1" applyAlignment="1" applyProtection="1">
      <alignment horizontal="right" vertical="top" wrapText="1"/>
      <protection locked="0"/>
    </xf>
    <xf numFmtId="165" fontId="13" fillId="0" borderId="58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 vertical="top" wrapText="1"/>
    </xf>
    <xf numFmtId="3" fontId="6" fillId="0" borderId="151" xfId="0" applyNumberFormat="1" applyFont="1" applyFill="1" applyBorder="1" applyAlignment="1" applyProtection="1">
      <alignment horizontal="center" vertical="top" wrapText="1"/>
      <protection locked="0"/>
    </xf>
    <xf numFmtId="3" fontId="6" fillId="0" borderId="153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154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50" xfId="0" applyNumberFormat="1" applyFont="1" applyFill="1" applyBorder="1" applyAlignment="1" applyProtection="1">
      <alignment horizontal="right" vertical="top" wrapText="1"/>
      <protection locked="0"/>
    </xf>
    <xf numFmtId="165" fontId="6" fillId="0" borderId="7" xfId="0" applyNumberFormat="1" applyFont="1" applyFill="1" applyBorder="1" applyAlignment="1" applyProtection="1">
      <alignment horizontal="right" vertical="top" wrapText="1"/>
      <protection locked="0"/>
    </xf>
    <xf numFmtId="165" fontId="7" fillId="0" borderId="155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49" xfId="0" applyNumberFormat="1" applyFont="1" applyFill="1" applyBorder="1" applyAlignment="1" applyProtection="1">
      <alignment horizontal="right" vertical="top" wrapText="1"/>
      <protection locked="0"/>
    </xf>
    <xf numFmtId="3" fontId="6" fillId="0" borderId="156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157" xfId="0" applyNumberFormat="1" applyFont="1" applyFill="1" applyBorder="1" applyAlignment="1" applyProtection="1">
      <alignment horizontal="right" vertical="top" wrapText="1"/>
      <protection locked="0"/>
    </xf>
    <xf numFmtId="3" fontId="6" fillId="0" borderId="58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158" xfId="0" applyNumberFormat="1" applyFont="1" applyFill="1" applyBorder="1" applyAlignment="1" applyProtection="1">
      <alignment horizontal="right" vertical="top" wrapText="1"/>
      <protection locked="0"/>
    </xf>
    <xf numFmtId="0" fontId="6" fillId="0" borderId="159" xfId="0" applyFont="1" applyFill="1" applyBorder="1" applyAlignment="1">
      <alignment horizontal="left" vertical="top" wrapText="1"/>
    </xf>
    <xf numFmtId="0" fontId="6" fillId="0" borderId="160" xfId="0" applyFont="1" applyFill="1" applyBorder="1" applyAlignment="1" applyProtection="1">
      <alignment horizontal="left" vertical="top" wrapText="1"/>
      <protection locked="0"/>
    </xf>
    <xf numFmtId="165" fontId="6" fillId="0" borderId="160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59" xfId="0" applyNumberFormat="1" applyFont="1" applyFill="1" applyBorder="1" applyAlignment="1" applyProtection="1">
      <alignment horizontal="right" vertical="top" wrapText="1"/>
      <protection locked="0"/>
    </xf>
    <xf numFmtId="165" fontId="7" fillId="0" borderId="161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62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63" xfId="0" applyNumberFormat="1" applyFont="1" applyFill="1" applyBorder="1" applyAlignment="1" applyProtection="1">
      <alignment horizontal="right" vertical="top" wrapText="1"/>
      <protection locked="0"/>
    </xf>
    <xf numFmtId="3" fontId="6" fillId="0" borderId="21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07" xfId="0" applyNumberFormat="1" applyFont="1" applyFill="1" applyBorder="1" applyAlignment="1" applyProtection="1">
      <alignment horizontal="right" vertical="top" wrapText="1"/>
      <protection locked="0"/>
    </xf>
    <xf numFmtId="0" fontId="6" fillId="0" borderId="164" xfId="0" applyFont="1" applyFill="1" applyBorder="1" applyAlignment="1">
      <alignment horizontal="left" vertical="top" wrapText="1"/>
    </xf>
    <xf numFmtId="0" fontId="6" fillId="0" borderId="165" xfId="0" applyFont="1" applyFill="1" applyBorder="1" applyAlignment="1" applyProtection="1">
      <alignment horizontal="left" vertical="top" wrapText="1"/>
      <protection locked="0"/>
    </xf>
    <xf numFmtId="3" fontId="6" fillId="0" borderId="166" xfId="0" applyNumberFormat="1" applyFont="1" applyFill="1" applyBorder="1" applyAlignment="1" applyProtection="1">
      <alignment horizontal="center" vertical="top" wrapText="1"/>
      <protection locked="0"/>
    </xf>
    <xf numFmtId="3" fontId="6" fillId="0" borderId="168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167" xfId="0" applyNumberFormat="1" applyFont="1" applyFill="1" applyBorder="1" applyAlignment="1" applyProtection="1">
      <alignment horizontal="right" vertical="top" wrapText="1"/>
      <protection locked="0"/>
    </xf>
    <xf numFmtId="165" fontId="7" fillId="0" borderId="167" xfId="0" applyNumberFormat="1" applyFont="1" applyFill="1" applyBorder="1" applyAlignment="1" applyProtection="1">
      <alignment horizontal="right" vertical="top" wrapText="1"/>
      <protection locked="0"/>
    </xf>
    <xf numFmtId="3" fontId="6" fillId="0" borderId="170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171" xfId="0" applyNumberFormat="1" applyFont="1" applyFill="1" applyBorder="1" applyAlignment="1">
      <alignment horizontal="right" vertical="top" wrapText="1"/>
    </xf>
    <xf numFmtId="3" fontId="6" fillId="0" borderId="172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173" xfId="0" applyNumberFormat="1" applyFont="1" applyFill="1" applyBorder="1" applyAlignment="1">
      <alignment horizontal="right" vertical="top" wrapText="1"/>
    </xf>
    <xf numFmtId="165" fontId="6" fillId="0" borderId="165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66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169" xfId="0" applyNumberFormat="1" applyFont="1" applyFill="1" applyBorder="1" applyAlignment="1">
      <alignment horizontal="right" vertical="top" wrapText="1"/>
    </xf>
    <xf numFmtId="165" fontId="7" fillId="0" borderId="174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67" xfId="0" applyNumberFormat="1" applyFont="1" applyFill="1" applyBorder="1" applyAlignment="1" applyProtection="1">
      <alignment horizontal="center" vertical="top" wrapText="1"/>
      <protection locked="0"/>
    </xf>
    <xf numFmtId="165" fontId="7" fillId="0" borderId="84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75" xfId="0" applyNumberFormat="1" applyFont="1" applyFill="1" applyBorder="1" applyAlignment="1">
      <alignment horizontal="right" vertical="top" wrapText="1"/>
    </xf>
    <xf numFmtId="165" fontId="6" fillId="0" borderId="90" xfId="0" applyNumberFormat="1" applyFont="1" applyFill="1" applyBorder="1" applyAlignment="1">
      <alignment horizontal="right" vertical="top" wrapText="1"/>
    </xf>
    <xf numFmtId="4" fontId="6" fillId="0" borderId="77" xfId="0" applyNumberFormat="1" applyFont="1" applyFill="1" applyBorder="1" applyAlignment="1" applyProtection="1">
      <alignment horizontal="right" vertical="top" wrapText="1"/>
      <protection locked="0"/>
    </xf>
    <xf numFmtId="0" fontId="7" fillId="4" borderId="9" xfId="1" applyFont="1" applyFill="1" applyBorder="1" applyAlignment="1" applyProtection="1">
      <alignment horizontal="left" vertical="top" wrapText="1"/>
      <protection locked="0"/>
    </xf>
    <xf numFmtId="165" fontId="7" fillId="4" borderId="28" xfId="1" applyNumberFormat="1" applyFont="1" applyFill="1" applyBorder="1" applyAlignment="1" applyProtection="1">
      <alignment horizontal="right" vertical="top" wrapText="1"/>
      <protection locked="0"/>
    </xf>
    <xf numFmtId="165" fontId="7" fillId="4" borderId="120" xfId="1" applyNumberFormat="1" applyFont="1" applyFill="1" applyBorder="1" applyAlignment="1" applyProtection="1">
      <alignment horizontal="right" vertical="top" wrapText="1"/>
      <protection locked="0"/>
    </xf>
    <xf numFmtId="0" fontId="7" fillId="4" borderId="119" xfId="1" applyFont="1" applyFill="1" applyBorder="1" applyAlignment="1" applyProtection="1">
      <alignment horizontal="left" vertical="top" wrapText="1"/>
      <protection locked="0"/>
    </xf>
    <xf numFmtId="3" fontId="7" fillId="4" borderId="32" xfId="0" applyNumberFormat="1" applyFont="1" applyFill="1" applyBorder="1" applyAlignment="1" applyProtection="1">
      <alignment horizontal="right" vertical="top" wrapText="1"/>
      <protection locked="0"/>
    </xf>
    <xf numFmtId="3" fontId="7" fillId="4" borderId="134" xfId="0" applyNumberFormat="1" applyFont="1" applyFill="1" applyBorder="1" applyAlignment="1" applyProtection="1">
      <alignment horizontal="right" vertical="top" wrapText="1"/>
      <protection locked="0"/>
    </xf>
    <xf numFmtId="0" fontId="6" fillId="4" borderId="9" xfId="0" applyFont="1" applyFill="1" applyBorder="1" applyAlignment="1" applyProtection="1">
      <alignment horizontal="left" vertical="top" wrapText="1"/>
      <protection locked="0"/>
    </xf>
    <xf numFmtId="0" fontId="6" fillId="4" borderId="119" xfId="0" applyFont="1" applyFill="1" applyBorder="1" applyAlignment="1" applyProtection="1">
      <alignment horizontal="left" vertical="top" wrapText="1"/>
      <protection locked="0"/>
    </xf>
    <xf numFmtId="165" fontId="7" fillId="4" borderId="12" xfId="0" applyNumberFormat="1" applyFont="1" applyFill="1" applyBorder="1" applyAlignment="1" applyProtection="1">
      <alignment horizontal="right" vertical="top" wrapText="1"/>
      <protection locked="0"/>
    </xf>
    <xf numFmtId="165" fontId="7" fillId="4" borderId="28" xfId="0" applyNumberFormat="1" applyFont="1" applyFill="1" applyBorder="1" applyAlignment="1" applyProtection="1">
      <alignment horizontal="right" vertical="top" wrapText="1"/>
      <protection locked="0"/>
    </xf>
    <xf numFmtId="0" fontId="6" fillId="4" borderId="10" xfId="0" applyFont="1" applyFill="1" applyBorder="1" applyAlignment="1" applyProtection="1">
      <alignment horizontal="left" vertical="top" wrapText="1"/>
      <protection locked="0"/>
    </xf>
    <xf numFmtId="0" fontId="6" fillId="4" borderId="29" xfId="0" applyFont="1" applyFill="1" applyBorder="1" applyAlignment="1" applyProtection="1">
      <alignment horizontal="left" vertical="top" wrapText="1"/>
      <protection locked="0"/>
    </xf>
    <xf numFmtId="165" fontId="7" fillId="4" borderId="18" xfId="0" applyNumberFormat="1" applyFont="1" applyFill="1" applyBorder="1" applyAlignment="1" applyProtection="1">
      <alignment horizontal="right" vertical="top" wrapText="1"/>
      <protection locked="0"/>
    </xf>
    <xf numFmtId="165" fontId="7" fillId="4" borderId="32" xfId="0" applyNumberFormat="1" applyFont="1" applyFill="1" applyBorder="1" applyAlignment="1" applyProtection="1">
      <alignment horizontal="right" vertical="top" wrapText="1"/>
      <protection locked="0"/>
    </xf>
    <xf numFmtId="3" fontId="7" fillId="4" borderId="33" xfId="0" applyNumberFormat="1" applyFont="1" applyFill="1" applyBorder="1" applyAlignment="1" applyProtection="1">
      <alignment horizontal="right" vertical="top" wrapText="1"/>
      <protection locked="0"/>
    </xf>
    <xf numFmtId="0" fontId="6" fillId="4" borderId="16" xfId="0" applyFont="1" applyFill="1" applyBorder="1" applyAlignment="1" applyProtection="1">
      <alignment horizontal="left" vertical="top" wrapText="1"/>
      <protection locked="0"/>
    </xf>
    <xf numFmtId="0" fontId="6" fillId="4" borderId="24" xfId="0" applyFont="1" applyFill="1" applyBorder="1" applyAlignment="1" applyProtection="1">
      <alignment horizontal="left" vertical="top" wrapText="1"/>
      <protection locked="0"/>
    </xf>
    <xf numFmtId="0" fontId="6" fillId="4" borderId="160" xfId="0" applyFont="1" applyFill="1" applyBorder="1" applyAlignment="1" applyProtection="1">
      <alignment horizontal="left" vertical="top" wrapText="1"/>
      <protection locked="0"/>
    </xf>
    <xf numFmtId="0" fontId="6" fillId="4" borderId="150" xfId="0" applyFont="1" applyFill="1" applyBorder="1" applyAlignment="1" applyProtection="1">
      <alignment horizontal="left" vertical="top" wrapText="1"/>
      <protection locked="0"/>
    </xf>
    <xf numFmtId="165" fontId="6" fillId="4" borderId="85" xfId="0" applyNumberFormat="1" applyFont="1" applyFill="1" applyBorder="1" applyAlignment="1" applyProtection="1">
      <alignment horizontal="right" vertical="top" wrapText="1"/>
      <protection locked="0"/>
    </xf>
    <xf numFmtId="165" fontId="6" fillId="4" borderId="152" xfId="0" applyNumberFormat="1" applyFont="1" applyFill="1" applyBorder="1" applyAlignment="1" applyProtection="1">
      <alignment horizontal="right" vertical="top" wrapText="1"/>
      <protection locked="0"/>
    </xf>
    <xf numFmtId="165" fontId="6" fillId="0" borderId="32" xfId="0" applyNumberFormat="1" applyFont="1" applyFill="1" applyBorder="1" applyAlignment="1" applyProtection="1">
      <alignment horizontal="right" vertical="top" wrapText="1"/>
      <protection locked="0"/>
    </xf>
    <xf numFmtId="0" fontId="6" fillId="0" borderId="119" xfId="1" applyFont="1" applyFill="1" applyBorder="1" applyAlignment="1" applyProtection="1">
      <alignment horizontal="left" vertical="top" wrapText="1"/>
      <protection locked="0"/>
    </xf>
    <xf numFmtId="3" fontId="13" fillId="3" borderId="0" xfId="0" applyNumberFormat="1" applyFont="1" applyFill="1" applyBorder="1" applyAlignment="1" applyProtection="1">
      <alignment horizontal="center" wrapText="1"/>
    </xf>
    <xf numFmtId="165" fontId="11" fillId="3" borderId="0" xfId="0" applyNumberFormat="1" applyFont="1" applyFill="1" applyBorder="1" applyAlignment="1" applyProtection="1">
      <alignment horizontal="right" wrapText="1"/>
    </xf>
    <xf numFmtId="165" fontId="12" fillId="3" borderId="0" xfId="0" applyNumberFormat="1" applyFont="1" applyFill="1" applyBorder="1" applyAlignment="1" applyProtection="1">
      <alignment horizontal="right" wrapText="1"/>
    </xf>
    <xf numFmtId="165" fontId="13" fillId="3" borderId="0" xfId="0" applyNumberFormat="1" applyFont="1" applyFill="1" applyBorder="1" applyAlignment="1">
      <alignment horizontal="right" wrapText="1"/>
    </xf>
    <xf numFmtId="3" fontId="13" fillId="3" borderId="3" xfId="0" applyNumberFormat="1" applyFont="1" applyFill="1" applyBorder="1" applyAlignment="1">
      <alignment horizontal="center" wrapText="1"/>
    </xf>
    <xf numFmtId="165" fontId="13" fillId="3" borderId="5" xfId="0" applyNumberFormat="1" applyFont="1" applyFill="1" applyBorder="1" applyAlignment="1">
      <alignment horizontal="right" wrapText="1"/>
    </xf>
    <xf numFmtId="3" fontId="13" fillId="3" borderId="0" xfId="0" applyNumberFormat="1" applyFont="1" applyFill="1" applyBorder="1" applyAlignment="1">
      <alignment horizontal="center" wrapText="1"/>
    </xf>
    <xf numFmtId="0" fontId="6" fillId="0" borderId="119" xfId="0" applyFont="1" applyFill="1" applyBorder="1" applyAlignment="1" applyProtection="1">
      <alignment horizontal="left" vertical="top" wrapText="1"/>
      <protection locked="0"/>
    </xf>
    <xf numFmtId="0" fontId="6" fillId="0" borderId="101" xfId="0" applyFont="1" applyFill="1" applyBorder="1" applyAlignment="1" applyProtection="1">
      <alignment horizontal="center" vertical="top"/>
      <protection locked="0"/>
    </xf>
    <xf numFmtId="165" fontId="6" fillId="0" borderId="120" xfId="0" applyNumberFormat="1" applyFont="1" applyFill="1" applyBorder="1" applyAlignment="1" applyProtection="1">
      <alignment horizontal="right" vertical="top" wrapText="1"/>
      <protection locked="0"/>
    </xf>
    <xf numFmtId="3" fontId="6" fillId="0" borderId="124" xfId="0" applyNumberFormat="1" applyFont="1" applyFill="1" applyBorder="1" applyAlignment="1" applyProtection="1">
      <alignment horizontal="center" vertical="top"/>
      <protection locked="0"/>
    </xf>
    <xf numFmtId="49" fontId="4" fillId="0" borderId="0" xfId="0" applyNumberFormat="1" applyFont="1" applyBorder="1" applyAlignment="1">
      <alignment horizontal="left" vertical="top"/>
    </xf>
    <xf numFmtId="165" fontId="19" fillId="0" borderId="0" xfId="0" applyNumberFormat="1" applyFont="1" applyBorder="1" applyAlignment="1">
      <alignment horizontal="right" vertical="top"/>
    </xf>
    <xf numFmtId="165" fontId="6" fillId="2" borderId="185" xfId="0" applyNumberFormat="1" applyFont="1" applyFill="1" applyBorder="1" applyAlignment="1">
      <alignment horizontal="center" vertical="center" wrapText="1"/>
    </xf>
    <xf numFmtId="165" fontId="6" fillId="2" borderId="186" xfId="0" applyNumberFormat="1" applyFont="1" applyFill="1" applyBorder="1" applyAlignment="1">
      <alignment horizontal="center" vertical="center" wrapText="1"/>
    </xf>
    <xf numFmtId="165" fontId="6" fillId="2" borderId="187" xfId="0" applyNumberFormat="1" applyFont="1" applyFill="1" applyBorder="1" applyAlignment="1">
      <alignment horizontal="center" vertical="center" wrapText="1"/>
    </xf>
    <xf numFmtId="165" fontId="11" fillId="3" borderId="132" xfId="0" applyNumberFormat="1" applyFont="1" applyFill="1" applyBorder="1" applyAlignment="1">
      <alignment horizontal="right" wrapText="1"/>
    </xf>
    <xf numFmtId="165" fontId="12" fillId="3" borderId="132" xfId="0" applyNumberFormat="1" applyFont="1" applyFill="1" applyBorder="1" applyAlignment="1">
      <alignment horizontal="right" wrapText="1"/>
    </xf>
    <xf numFmtId="165" fontId="13" fillId="3" borderId="117" xfId="0" applyNumberFormat="1" applyFont="1" applyFill="1" applyBorder="1" applyAlignment="1">
      <alignment horizontal="right" wrapText="1"/>
    </xf>
    <xf numFmtId="165" fontId="13" fillId="3" borderId="191" xfId="0" applyNumberFormat="1" applyFont="1" applyFill="1" applyBorder="1" applyAlignment="1">
      <alignment horizontal="right" wrapText="1"/>
    </xf>
    <xf numFmtId="0" fontId="6" fillId="0" borderId="95" xfId="0" applyFont="1" applyFill="1" applyBorder="1" applyAlignment="1">
      <alignment horizontal="left" vertical="top" wrapText="1"/>
    </xf>
    <xf numFmtId="165" fontId="6" fillId="0" borderId="34" xfId="0" applyNumberFormat="1" applyFont="1" applyFill="1" applyBorder="1" applyAlignment="1">
      <alignment horizontal="right" vertical="top" wrapText="1"/>
    </xf>
    <xf numFmtId="0" fontId="6" fillId="0" borderId="144" xfId="0" applyFont="1" applyFill="1" applyBorder="1" applyAlignment="1">
      <alignment horizontal="left" vertical="top" wrapText="1"/>
    </xf>
    <xf numFmtId="165" fontId="6" fillId="0" borderId="37" xfId="0" applyNumberFormat="1" applyFont="1" applyFill="1" applyBorder="1" applyAlignment="1">
      <alignment horizontal="right" vertical="top" wrapText="1"/>
    </xf>
    <xf numFmtId="3" fontId="6" fillId="0" borderId="126" xfId="0" applyNumberFormat="1" applyFont="1" applyFill="1" applyBorder="1" applyAlignment="1">
      <alignment horizontal="center" vertical="top" wrapText="1"/>
    </xf>
    <xf numFmtId="0" fontId="6" fillId="0" borderId="99" xfId="0" applyFont="1" applyFill="1" applyBorder="1" applyAlignment="1">
      <alignment horizontal="left" vertical="top" wrapText="1"/>
    </xf>
    <xf numFmtId="165" fontId="6" fillId="0" borderId="124" xfId="0" applyNumberFormat="1" applyFont="1" applyFill="1" applyBorder="1" applyAlignment="1">
      <alignment horizontal="right" vertical="top" wrapText="1"/>
    </xf>
    <xf numFmtId="165" fontId="13" fillId="3" borderId="192" xfId="0" applyNumberFormat="1" applyFont="1" applyFill="1" applyBorder="1" applyAlignment="1">
      <alignment horizontal="right" wrapText="1"/>
    </xf>
    <xf numFmtId="3" fontId="6" fillId="0" borderId="193" xfId="0" applyNumberFormat="1" applyFont="1" applyFill="1" applyBorder="1" applyAlignment="1" applyProtection="1">
      <alignment horizontal="center" vertical="top"/>
      <protection locked="0"/>
    </xf>
    <xf numFmtId="165" fontId="7" fillId="0" borderId="194" xfId="0" applyNumberFormat="1" applyFont="1" applyFill="1" applyBorder="1" applyAlignment="1" applyProtection="1">
      <alignment horizontal="right" vertical="top" wrapText="1"/>
      <protection locked="0"/>
    </xf>
    <xf numFmtId="3" fontId="6" fillId="0" borderId="195" xfId="1" applyNumberFormat="1" applyFont="1" applyFill="1" applyBorder="1" applyAlignment="1" applyProtection="1">
      <alignment horizontal="center" vertical="top" wrapText="1"/>
      <protection locked="0"/>
    </xf>
    <xf numFmtId="3" fontId="6" fillId="0" borderId="196" xfId="1" applyNumberFormat="1" applyFont="1" applyFill="1" applyBorder="1" applyAlignment="1" applyProtection="1">
      <alignment horizontal="center" vertical="top" wrapText="1"/>
      <protection locked="0"/>
    </xf>
    <xf numFmtId="0" fontId="6" fillId="0" borderId="36" xfId="0" applyFont="1" applyFill="1" applyBorder="1" applyAlignment="1" applyProtection="1">
      <alignment horizontal="left" vertical="top" wrapText="1"/>
      <protection locked="0"/>
    </xf>
    <xf numFmtId="0" fontId="6" fillId="0" borderId="41" xfId="0" applyFont="1" applyFill="1" applyBorder="1" applyAlignment="1" applyProtection="1">
      <alignment horizontal="center" vertical="top"/>
      <protection locked="0"/>
    </xf>
    <xf numFmtId="3" fontId="6" fillId="0" borderId="126" xfId="1" applyNumberFormat="1" applyFont="1" applyFill="1" applyBorder="1" applyAlignment="1" applyProtection="1">
      <alignment horizontal="center" vertical="top" wrapText="1"/>
      <protection locked="0"/>
    </xf>
    <xf numFmtId="3" fontId="7" fillId="0" borderId="126" xfId="1" applyNumberFormat="1" applyFont="1" applyFill="1" applyBorder="1" applyAlignment="1" applyProtection="1">
      <alignment horizontal="center" vertical="top" wrapText="1"/>
      <protection locked="0"/>
    </xf>
    <xf numFmtId="3" fontId="13" fillId="3" borderId="198" xfId="0" applyNumberFormat="1" applyFont="1" applyFill="1" applyBorder="1" applyAlignment="1" applyProtection="1">
      <alignment horizontal="center" wrapText="1"/>
    </xf>
    <xf numFmtId="165" fontId="12" fillId="3" borderId="198" xfId="0" applyNumberFormat="1" applyFont="1" applyFill="1" applyBorder="1" applyAlignment="1" applyProtection="1">
      <alignment horizontal="right" wrapText="1"/>
    </xf>
    <xf numFmtId="165" fontId="11" fillId="3" borderId="198" xfId="0" applyNumberFormat="1" applyFont="1" applyFill="1" applyBorder="1" applyAlignment="1" applyProtection="1">
      <alignment horizontal="right" wrapText="1"/>
    </xf>
    <xf numFmtId="165" fontId="13" fillId="3" borderId="198" xfId="0" applyNumberFormat="1" applyFont="1" applyFill="1" applyBorder="1" applyAlignment="1">
      <alignment horizontal="right" wrapText="1"/>
    </xf>
    <xf numFmtId="165" fontId="13" fillId="3" borderId="199" xfId="0" applyNumberFormat="1" applyFont="1" applyFill="1" applyBorder="1" applyAlignment="1">
      <alignment horizontal="right" wrapText="1"/>
    </xf>
    <xf numFmtId="165" fontId="13" fillId="3" borderId="200" xfId="0" applyNumberFormat="1" applyFont="1" applyFill="1" applyBorder="1" applyAlignment="1">
      <alignment horizontal="right" wrapText="1"/>
    </xf>
    <xf numFmtId="0" fontId="6" fillId="0" borderId="201" xfId="0" applyFont="1" applyFill="1" applyBorder="1" applyAlignment="1">
      <alignment horizontal="left" vertical="top" wrapText="1"/>
    </xf>
    <xf numFmtId="3" fontId="6" fillId="0" borderId="41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81" xfId="0" applyNumberFormat="1" applyFont="1" applyFill="1" applyBorder="1" applyAlignment="1" applyProtection="1">
      <alignment horizontal="right" vertical="top" wrapText="1"/>
      <protection locked="0"/>
    </xf>
    <xf numFmtId="165" fontId="11" fillId="3" borderId="198" xfId="0" applyNumberFormat="1" applyFont="1" applyFill="1" applyBorder="1" applyAlignment="1">
      <alignment horizontal="right" wrapText="1"/>
    </xf>
    <xf numFmtId="165" fontId="14" fillId="3" borderId="198" xfId="0" applyNumberFormat="1" applyFont="1" applyFill="1" applyBorder="1" applyAlignment="1">
      <alignment horizontal="right" wrapText="1"/>
    </xf>
    <xf numFmtId="0" fontId="6" fillId="0" borderId="83" xfId="0" applyFont="1" applyFill="1" applyBorder="1" applyAlignment="1">
      <alignment horizontal="left" vertical="top" wrapText="1"/>
    </xf>
    <xf numFmtId="0" fontId="6" fillId="0" borderId="202" xfId="0" applyFont="1" applyFill="1" applyBorder="1" applyAlignment="1" applyProtection="1">
      <alignment horizontal="left" vertical="top" wrapText="1"/>
      <protection locked="0"/>
    </xf>
    <xf numFmtId="3" fontId="6" fillId="0" borderId="203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204" xfId="0" applyNumberFormat="1" applyFont="1" applyFill="1" applyBorder="1" applyAlignment="1" applyProtection="1">
      <alignment horizontal="right" vertical="top" wrapText="1"/>
      <protection locked="0"/>
    </xf>
    <xf numFmtId="3" fontId="6" fillId="0" borderId="205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206" xfId="0" applyNumberFormat="1" applyFont="1" applyFill="1" applyBorder="1" applyAlignment="1" applyProtection="1">
      <alignment horizontal="right" vertical="top" wrapText="1"/>
      <protection locked="0"/>
    </xf>
    <xf numFmtId="165" fontId="6" fillId="0" borderId="202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89" xfId="0" applyNumberFormat="1" applyFont="1" applyFill="1" applyBorder="1" applyAlignment="1" applyProtection="1">
      <alignment horizontal="right" vertical="top" wrapText="1"/>
      <protection locked="0"/>
    </xf>
    <xf numFmtId="165" fontId="7" fillId="0" borderId="207" xfId="0" applyNumberFormat="1" applyFont="1" applyFill="1" applyBorder="1" applyAlignment="1" applyProtection="1">
      <alignment horizontal="right" vertical="top" wrapText="1"/>
      <protection locked="0"/>
    </xf>
    <xf numFmtId="165" fontId="6" fillId="0" borderId="208" xfId="0" applyNumberFormat="1" applyFont="1" applyFill="1" applyBorder="1" applyAlignment="1" applyProtection="1">
      <alignment horizontal="right" vertical="top" wrapText="1"/>
      <protection locked="0"/>
    </xf>
    <xf numFmtId="3" fontId="6" fillId="0" borderId="187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209" xfId="0" applyNumberFormat="1" applyFont="1" applyFill="1" applyBorder="1" applyAlignment="1" applyProtection="1">
      <alignment horizontal="right" vertical="top" wrapText="1"/>
      <protection locked="0"/>
    </xf>
    <xf numFmtId="3" fontId="6" fillId="0" borderId="210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211" xfId="0" applyNumberFormat="1" applyFont="1" applyFill="1" applyBorder="1" applyAlignment="1" applyProtection="1">
      <alignment horizontal="right" vertical="top" wrapText="1"/>
      <protection locked="0"/>
    </xf>
    <xf numFmtId="165" fontId="13" fillId="3" borderId="210" xfId="0" applyNumberFormat="1" applyFont="1" applyFill="1" applyBorder="1" applyAlignment="1">
      <alignment horizontal="right"/>
    </xf>
    <xf numFmtId="165" fontId="13" fillId="3" borderId="210" xfId="0" applyNumberFormat="1" applyFont="1" applyFill="1" applyBorder="1" applyAlignment="1">
      <alignment horizontal="right" wrapText="1"/>
    </xf>
    <xf numFmtId="0" fontId="6" fillId="0" borderId="212" xfId="0" applyFont="1" applyFill="1" applyBorder="1" applyAlignment="1">
      <alignment horizontal="left" vertical="top" wrapText="1"/>
    </xf>
    <xf numFmtId="0" fontId="6" fillId="0" borderId="213" xfId="0" applyFont="1" applyFill="1" applyBorder="1" applyAlignment="1" applyProtection="1">
      <alignment horizontal="left" vertical="top" wrapText="1"/>
      <protection locked="0"/>
    </xf>
    <xf numFmtId="3" fontId="6" fillId="0" borderId="214" xfId="0" applyNumberFormat="1" applyFont="1" applyFill="1" applyBorder="1" applyAlignment="1" applyProtection="1">
      <alignment horizontal="center" vertical="top" wrapText="1"/>
      <protection locked="0"/>
    </xf>
    <xf numFmtId="4" fontId="6" fillId="0" borderId="215" xfId="0" applyNumberFormat="1" applyFont="1" applyFill="1" applyBorder="1" applyAlignment="1" applyProtection="1">
      <alignment horizontal="right" vertical="top" wrapText="1"/>
      <protection locked="0"/>
    </xf>
    <xf numFmtId="3" fontId="6" fillId="0" borderId="216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215" xfId="0" applyNumberFormat="1" applyFont="1" applyFill="1" applyBorder="1" applyAlignment="1" applyProtection="1">
      <alignment horizontal="right" vertical="top" wrapText="1"/>
      <protection locked="0"/>
    </xf>
    <xf numFmtId="165" fontId="7" fillId="0" borderId="215" xfId="0" applyNumberFormat="1" applyFont="1" applyFill="1" applyBorder="1" applyAlignment="1" applyProtection="1">
      <alignment horizontal="right" vertical="top" wrapText="1"/>
      <protection locked="0"/>
    </xf>
    <xf numFmtId="165" fontId="6" fillId="0" borderId="217" xfId="0" applyNumberFormat="1" applyFont="1" applyFill="1" applyBorder="1" applyAlignment="1" applyProtection="1">
      <alignment horizontal="right" vertical="top" wrapText="1"/>
      <protection locked="0"/>
    </xf>
    <xf numFmtId="3" fontId="6" fillId="0" borderId="218" xfId="0" applyNumberFormat="1" applyFont="1" applyFill="1" applyBorder="1" applyAlignment="1" applyProtection="1">
      <alignment horizontal="center" vertical="top" wrapText="1"/>
      <protection locked="0"/>
    </xf>
    <xf numFmtId="165" fontId="7" fillId="0" borderId="214" xfId="0" applyNumberFormat="1" applyFont="1" applyFill="1" applyBorder="1" applyAlignment="1" applyProtection="1">
      <alignment horizontal="right" vertical="top" wrapText="1"/>
      <protection locked="0"/>
    </xf>
    <xf numFmtId="165" fontId="6" fillId="0" borderId="219" xfId="0" applyNumberFormat="1" applyFont="1" applyFill="1" applyBorder="1" applyAlignment="1">
      <alignment horizontal="right" vertical="top" wrapText="1"/>
    </xf>
    <xf numFmtId="3" fontId="6" fillId="0" borderId="220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218" xfId="0" applyNumberFormat="1" applyFont="1" applyFill="1" applyBorder="1" applyAlignment="1">
      <alignment horizontal="right" vertical="top" wrapText="1"/>
    </xf>
    <xf numFmtId="0" fontId="6" fillId="0" borderId="89" xfId="0" applyFont="1" applyFill="1" applyBorder="1" applyAlignment="1">
      <alignment horizontal="left" vertical="top" wrapText="1"/>
    </xf>
    <xf numFmtId="3" fontId="13" fillId="3" borderId="5" xfId="0" applyNumberFormat="1" applyFont="1" applyFill="1" applyBorder="1" applyAlignment="1">
      <alignment horizontal="center" vertical="center" wrapText="1"/>
    </xf>
    <xf numFmtId="3" fontId="9" fillId="3" borderId="36" xfId="1" applyNumberFormat="1" applyFont="1" applyFill="1" applyBorder="1" applyAlignment="1" applyProtection="1">
      <alignment horizontal="right" wrapText="1"/>
      <protection locked="0"/>
    </xf>
    <xf numFmtId="3" fontId="9" fillId="3" borderId="41" xfId="1" applyNumberFormat="1" applyFont="1" applyFill="1" applyBorder="1" applyAlignment="1" applyProtection="1">
      <alignment horizontal="right"/>
      <protection locked="0"/>
    </xf>
    <xf numFmtId="3" fontId="9" fillId="3" borderId="28" xfId="1" applyNumberFormat="1" applyFont="1" applyFill="1" applyBorder="1" applyAlignment="1" applyProtection="1">
      <alignment horizontal="right" wrapText="1"/>
      <protection locked="0"/>
    </xf>
    <xf numFmtId="3" fontId="10" fillId="3" borderId="189" xfId="0" applyNumberFormat="1" applyFont="1" applyFill="1" applyBorder="1" applyAlignment="1">
      <alignment horizontal="right" wrapText="1"/>
    </xf>
    <xf numFmtId="165" fontId="9" fillId="3" borderId="3" xfId="0" applyNumberFormat="1" applyFont="1" applyFill="1" applyBorder="1" applyAlignment="1">
      <alignment horizontal="right" wrapText="1"/>
    </xf>
    <xf numFmtId="3" fontId="13" fillId="3" borderId="40" xfId="0" applyNumberFormat="1" applyFont="1" applyFill="1" applyBorder="1" applyAlignment="1">
      <alignment horizontal="center" wrapText="1"/>
    </xf>
    <xf numFmtId="165" fontId="9" fillId="3" borderId="4" xfId="0" applyNumberFormat="1" applyFont="1" applyFill="1" applyBorder="1" applyAlignment="1">
      <alignment horizontal="right" wrapText="1"/>
    </xf>
    <xf numFmtId="3" fontId="13" fillId="3" borderId="57" xfId="0" applyNumberFormat="1" applyFont="1" applyFill="1" applyBorder="1" applyAlignment="1">
      <alignment horizontal="center" wrapText="1"/>
    </xf>
    <xf numFmtId="165" fontId="9" fillId="3" borderId="190" xfId="0" applyNumberFormat="1" applyFont="1" applyFill="1" applyBorder="1" applyAlignment="1">
      <alignment horizontal="right" wrapText="1"/>
    </xf>
    <xf numFmtId="165" fontId="9" fillId="3" borderId="117" xfId="0" applyNumberFormat="1" applyFont="1" applyFill="1" applyBorder="1" applyAlignment="1">
      <alignment horizontal="right"/>
    </xf>
    <xf numFmtId="167" fontId="6" fillId="0" borderId="0" xfId="0" applyNumberFormat="1" applyFont="1"/>
    <xf numFmtId="167" fontId="22" fillId="0" borderId="0" xfId="0" applyNumberFormat="1" applyFont="1"/>
    <xf numFmtId="49" fontId="5" fillId="0" borderId="0" xfId="0" applyNumberFormat="1" applyFont="1" applyBorder="1" applyAlignment="1">
      <alignment horizontal="center" vertical="top" wrapText="1"/>
    </xf>
    <xf numFmtId="1" fontId="6" fillId="0" borderId="0" xfId="0" applyNumberFormat="1" applyFont="1" applyAlignment="1">
      <alignment horizontal="right"/>
    </xf>
    <xf numFmtId="165" fontId="6" fillId="0" borderId="223" xfId="0" applyNumberFormat="1" applyFont="1" applyFill="1" applyBorder="1" applyAlignment="1">
      <alignment horizontal="center" vertical="center" wrapText="1"/>
    </xf>
    <xf numFmtId="165" fontId="6" fillId="0" borderId="226" xfId="0" applyNumberFormat="1" applyFont="1" applyFill="1" applyBorder="1" applyAlignment="1">
      <alignment horizontal="center" vertical="center" wrapText="1"/>
    </xf>
    <xf numFmtId="165" fontId="6" fillId="0" borderId="230" xfId="0" applyNumberFormat="1" applyFont="1" applyFill="1" applyBorder="1" applyAlignment="1">
      <alignment horizontal="center" vertical="center" wrapText="1"/>
    </xf>
    <xf numFmtId="165" fontId="6" fillId="0" borderId="230" xfId="0" applyNumberFormat="1" applyFont="1" applyFill="1" applyBorder="1" applyAlignment="1">
      <alignment horizontal="right" vertical="top" wrapText="1"/>
    </xf>
    <xf numFmtId="165" fontId="6" fillId="0" borderId="223" xfId="0" applyNumberFormat="1" applyFont="1" applyFill="1" applyBorder="1" applyAlignment="1">
      <alignment horizontal="right" vertical="top" wrapText="1"/>
    </xf>
    <xf numFmtId="165" fontId="6" fillId="0" borderId="230" xfId="0" applyNumberFormat="1" applyFont="1" applyFill="1" applyBorder="1" applyAlignment="1" applyProtection="1">
      <alignment horizontal="right" vertical="top" wrapText="1"/>
      <protection locked="0"/>
    </xf>
    <xf numFmtId="165" fontId="6" fillId="0" borderId="223" xfId="0" applyNumberFormat="1" applyFont="1" applyFill="1" applyBorder="1" applyAlignment="1" applyProtection="1">
      <alignment horizontal="right" vertical="top" wrapText="1"/>
      <protection locked="0"/>
    </xf>
    <xf numFmtId="165" fontId="13" fillId="3" borderId="231" xfId="0" applyNumberFormat="1" applyFont="1" applyFill="1" applyBorder="1" applyAlignment="1">
      <alignment horizontal="right"/>
    </xf>
    <xf numFmtId="165" fontId="6" fillId="0" borderId="228" xfId="1" applyNumberFormat="1" applyFont="1" applyFill="1" applyBorder="1" applyAlignment="1" applyProtection="1">
      <alignment horizontal="right" vertical="top" wrapText="1"/>
      <protection locked="0"/>
    </xf>
    <xf numFmtId="165" fontId="6" fillId="0" borderId="230" xfId="1" applyNumberFormat="1" applyFont="1" applyFill="1" applyBorder="1" applyAlignment="1" applyProtection="1">
      <alignment horizontal="right" vertical="top" wrapText="1"/>
      <protection locked="0"/>
    </xf>
    <xf numFmtId="165" fontId="6" fillId="0" borderId="228" xfId="0" applyNumberFormat="1" applyFont="1" applyFill="1" applyBorder="1" applyAlignment="1" applyProtection="1">
      <alignment horizontal="right" vertical="top" wrapText="1"/>
      <protection locked="0"/>
    </xf>
    <xf numFmtId="4" fontId="6" fillId="0" borderId="230" xfId="0" applyNumberFormat="1" applyFont="1" applyFill="1" applyBorder="1" applyAlignment="1" applyProtection="1">
      <alignment horizontal="right" vertical="top" wrapText="1"/>
      <protection locked="0"/>
    </xf>
    <xf numFmtId="0" fontId="6" fillId="0" borderId="222" xfId="0" applyFont="1" applyFill="1" applyBorder="1" applyAlignment="1">
      <alignment horizontal="center" vertical="center" wrapText="1"/>
    </xf>
    <xf numFmtId="165" fontId="13" fillId="0" borderId="232" xfId="0" applyNumberFormat="1" applyFont="1" applyBorder="1" applyAlignment="1">
      <alignment horizontal="right"/>
    </xf>
    <xf numFmtId="165" fontId="13" fillId="0" borderId="231" xfId="0" applyNumberFormat="1" applyFont="1" applyBorder="1" applyAlignment="1">
      <alignment horizontal="right"/>
    </xf>
    <xf numFmtId="165" fontId="13" fillId="3" borderId="225" xfId="0" applyNumberFormat="1" applyFont="1" applyFill="1" applyBorder="1" applyAlignment="1">
      <alignment horizontal="right" wrapText="1"/>
    </xf>
    <xf numFmtId="165" fontId="13" fillId="0" borderId="234" xfId="0" applyNumberFormat="1" applyFont="1" applyBorder="1" applyAlignment="1">
      <alignment horizontal="right"/>
    </xf>
    <xf numFmtId="165" fontId="13" fillId="3" borderId="227" xfId="0" applyNumberFormat="1" applyFont="1" applyFill="1" applyBorder="1" applyAlignment="1">
      <alignment horizontal="right" wrapText="1"/>
    </xf>
    <xf numFmtId="165" fontId="6" fillId="0" borderId="226" xfId="0" applyNumberFormat="1" applyFont="1" applyFill="1" applyBorder="1" applyAlignment="1">
      <alignment horizontal="right" vertical="top" wrapText="1"/>
    </xf>
    <xf numFmtId="165" fontId="6" fillId="0" borderId="226" xfId="0" applyNumberFormat="1" applyFont="1" applyFill="1" applyBorder="1" applyAlignment="1" applyProtection="1">
      <alignment horizontal="right" vertical="top" wrapText="1"/>
      <protection locked="0"/>
    </xf>
    <xf numFmtId="165" fontId="13" fillId="4" borderId="224" xfId="0" applyNumberFormat="1" applyFont="1" applyFill="1" applyBorder="1" applyAlignment="1">
      <alignment horizontal="right" wrapText="1"/>
    </xf>
    <xf numFmtId="165" fontId="13" fillId="4" borderId="224" xfId="0" applyNumberFormat="1" applyFont="1" applyFill="1" applyBorder="1" applyAlignment="1">
      <alignment horizontal="right"/>
    </xf>
    <xf numFmtId="0" fontId="6" fillId="0" borderId="221" xfId="0" applyFont="1" applyFill="1" applyBorder="1" applyAlignment="1">
      <alignment horizontal="center" vertical="center" wrapText="1"/>
    </xf>
    <xf numFmtId="0" fontId="6" fillId="0" borderId="233" xfId="0" applyFont="1" applyFill="1" applyBorder="1" applyAlignment="1">
      <alignment horizontal="center" vertical="center" wrapText="1"/>
    </xf>
    <xf numFmtId="165" fontId="6" fillId="0" borderId="228" xfId="0" applyNumberFormat="1" applyFont="1" applyFill="1" applyBorder="1" applyAlignment="1">
      <alignment horizontal="center" vertical="center" wrapText="1"/>
    </xf>
    <xf numFmtId="165" fontId="6" fillId="0" borderId="229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top" wrapText="1"/>
    </xf>
    <xf numFmtId="0" fontId="6" fillId="2" borderId="145" xfId="0" applyFont="1" applyFill="1" applyBorder="1" applyAlignment="1">
      <alignment horizontal="center" vertical="center" wrapText="1"/>
    </xf>
    <xf numFmtId="0" fontId="6" fillId="2" borderId="177" xfId="0" applyFont="1" applyFill="1" applyBorder="1" applyAlignment="1">
      <alignment horizontal="center" vertical="center" wrapText="1"/>
    </xf>
    <xf numFmtId="0" fontId="6" fillId="2" borderId="181" xfId="0" applyFont="1" applyFill="1" applyBorder="1" applyAlignment="1">
      <alignment horizontal="center" vertical="center" wrapText="1"/>
    </xf>
    <xf numFmtId="0" fontId="6" fillId="2" borderId="182" xfId="0" applyFont="1" applyFill="1" applyBorder="1" applyAlignment="1">
      <alignment horizontal="center" vertical="center" wrapText="1"/>
    </xf>
    <xf numFmtId="0" fontId="6" fillId="2" borderId="178" xfId="0" applyFont="1" applyFill="1" applyBorder="1" applyAlignment="1">
      <alignment horizontal="center" vertical="center" wrapText="1"/>
    </xf>
    <xf numFmtId="0" fontId="6" fillId="2" borderId="183" xfId="0" applyFont="1" applyFill="1" applyBorder="1" applyAlignment="1">
      <alignment horizontal="center" vertical="center" wrapText="1"/>
    </xf>
    <xf numFmtId="0" fontId="6" fillId="2" borderId="179" xfId="0" applyFont="1" applyFill="1" applyBorder="1" applyAlignment="1">
      <alignment horizontal="center" vertical="center" wrapText="1"/>
    </xf>
    <xf numFmtId="0" fontId="6" fillId="2" borderId="184" xfId="0" applyFont="1" applyFill="1" applyBorder="1" applyAlignment="1">
      <alignment horizontal="center" vertical="center" wrapText="1"/>
    </xf>
    <xf numFmtId="165" fontId="6" fillId="2" borderId="141" xfId="0" applyNumberFormat="1" applyFont="1" applyFill="1" applyBorder="1" applyAlignment="1">
      <alignment horizontal="center" vertical="center" wrapText="1"/>
    </xf>
    <xf numFmtId="165" fontId="6" fillId="2" borderId="176" xfId="0" applyNumberFormat="1" applyFont="1" applyFill="1" applyBorder="1" applyAlignment="1">
      <alignment horizontal="center" vertical="center" wrapText="1"/>
    </xf>
    <xf numFmtId="165" fontId="6" fillId="2" borderId="180" xfId="0" applyNumberFormat="1" applyFont="1" applyFill="1" applyBorder="1" applyAlignment="1">
      <alignment horizontal="center" vertical="center" wrapText="1"/>
    </xf>
    <xf numFmtId="165" fontId="6" fillId="2" borderId="148" xfId="0" applyNumberFormat="1" applyFont="1" applyFill="1" applyBorder="1" applyAlignment="1">
      <alignment horizontal="center" vertical="center" wrapText="1"/>
    </xf>
    <xf numFmtId="0" fontId="13" fillId="3" borderId="197" xfId="0" applyFont="1" applyFill="1" applyBorder="1" applyAlignment="1" applyProtection="1">
      <alignment horizontal="left" vertical="top" wrapText="1"/>
    </xf>
    <xf numFmtId="0" fontId="13" fillId="3" borderId="198" xfId="0" applyFont="1" applyFill="1" applyBorder="1" applyAlignment="1" applyProtection="1">
      <alignment horizontal="left" vertical="top" wrapText="1"/>
    </xf>
    <xf numFmtId="0" fontId="13" fillId="3" borderId="189" xfId="0" applyFont="1" applyFill="1" applyBorder="1" applyAlignment="1" applyProtection="1">
      <alignment horizontal="left" vertical="top" wrapText="1"/>
    </xf>
    <xf numFmtId="49" fontId="16" fillId="3" borderId="188" xfId="0" applyNumberFormat="1" applyFont="1" applyFill="1" applyBorder="1" applyAlignment="1">
      <alignment horizontal="left" vertical="center" wrapText="1"/>
    </xf>
    <xf numFmtId="49" fontId="16" fillId="3" borderId="132" xfId="0" applyNumberFormat="1" applyFont="1" applyFill="1" applyBorder="1" applyAlignment="1">
      <alignment horizontal="left" vertical="center" wrapText="1"/>
    </xf>
    <xf numFmtId="0" fontId="13" fillId="3" borderId="129" xfId="0" applyFont="1" applyFill="1" applyBorder="1" applyAlignment="1">
      <alignment horizontal="left" vertical="center" wrapText="1"/>
    </xf>
    <xf numFmtId="0" fontId="13" fillId="3" borderId="131" xfId="0" applyFont="1" applyFill="1" applyBorder="1" applyAlignment="1">
      <alignment horizontal="left" vertical="center" wrapText="1"/>
    </xf>
    <xf numFmtId="0" fontId="13" fillId="3" borderId="129" xfId="0" applyFont="1" applyFill="1" applyBorder="1" applyAlignment="1" applyProtection="1">
      <alignment horizontal="left" vertical="center" wrapText="1"/>
    </xf>
    <xf numFmtId="0" fontId="13" fillId="3" borderId="131" xfId="0" applyFont="1" applyFill="1" applyBorder="1" applyAlignment="1" applyProtection="1">
      <alignment horizontal="left" vertical="center" wrapText="1"/>
    </xf>
    <xf numFmtId="0" fontId="21" fillId="0" borderId="129" xfId="0" applyFont="1" applyFill="1" applyBorder="1" applyAlignment="1" applyProtection="1">
      <alignment horizontal="left" vertical="top" wrapText="1"/>
    </xf>
    <xf numFmtId="0" fontId="21" fillId="0" borderId="131" xfId="0" applyFont="1" applyFill="1" applyBorder="1" applyAlignment="1" applyProtection="1">
      <alignment horizontal="left" vertical="top" wrapText="1"/>
    </xf>
    <xf numFmtId="0" fontId="21" fillId="0" borderId="7" xfId="0" applyFont="1" applyFill="1" applyBorder="1" applyAlignment="1" applyProtection="1">
      <alignment horizontal="left" vertical="top" wrapText="1"/>
    </xf>
    <xf numFmtId="49" fontId="16" fillId="0" borderId="132" xfId="0" applyNumberFormat="1" applyFont="1" applyBorder="1" applyAlignment="1">
      <alignment horizontal="left" vertical="center" wrapText="1"/>
    </xf>
    <xf numFmtId="0" fontId="21" fillId="0" borderId="129" xfId="0" applyFont="1" applyFill="1" applyBorder="1" applyAlignment="1">
      <alignment horizontal="left" vertical="center" wrapText="1"/>
    </xf>
    <xf numFmtId="0" fontId="21" fillId="0" borderId="131" xfId="0" applyFont="1" applyFill="1" applyBorder="1" applyAlignment="1">
      <alignment horizontal="left" vertical="center" wrapText="1"/>
    </xf>
    <xf numFmtId="0" fontId="21" fillId="0" borderId="129" xfId="0" applyFont="1" applyFill="1" applyBorder="1" applyAlignment="1" applyProtection="1">
      <alignment horizontal="left" vertical="center" wrapText="1"/>
    </xf>
    <xf numFmtId="0" fontId="21" fillId="0" borderId="131" xfId="0" applyFont="1" applyFill="1" applyBorder="1" applyAlignment="1" applyProtection="1">
      <alignment horizontal="left" vertical="center" wrapText="1"/>
    </xf>
    <xf numFmtId="0" fontId="21" fillId="0" borderId="129" xfId="0" applyFont="1" applyFill="1" applyBorder="1" applyAlignment="1">
      <alignment horizontal="left" vertical="top" wrapText="1"/>
    </xf>
    <xf numFmtId="0" fontId="21" fillId="0" borderId="131" xfId="0" applyFont="1" applyFill="1" applyBorder="1" applyAlignment="1">
      <alignment horizontal="left" vertical="top" wrapText="1"/>
    </xf>
    <xf numFmtId="0" fontId="6" fillId="2" borderId="108" xfId="0" applyFont="1" applyFill="1" applyBorder="1" applyAlignment="1">
      <alignment horizontal="center" vertical="center" wrapText="1"/>
    </xf>
    <xf numFmtId="0" fontId="6" fillId="2" borderId="109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12" xfId="0" applyFont="1" applyFill="1" applyBorder="1" applyAlignment="1">
      <alignment horizontal="center" vertical="center" wrapText="1"/>
    </xf>
    <xf numFmtId="0" fontId="6" fillId="2" borderId="110" xfId="0" applyFont="1" applyFill="1" applyBorder="1" applyAlignment="1">
      <alignment horizontal="center" vertical="center" wrapText="1"/>
    </xf>
    <xf numFmtId="0" fontId="6" fillId="2" borderId="113" xfId="0" applyFont="1" applyFill="1" applyBorder="1" applyAlignment="1">
      <alignment horizontal="center" vertical="center" wrapText="1"/>
    </xf>
    <xf numFmtId="0" fontId="6" fillId="2" borderId="111" xfId="0" applyFont="1" applyFill="1" applyBorder="1" applyAlignment="1">
      <alignment horizontal="center" vertical="center" wrapText="1"/>
    </xf>
    <xf numFmtId="0" fontId="6" fillId="2" borderId="114" xfId="0" applyFont="1" applyFill="1" applyBorder="1" applyAlignment="1">
      <alignment horizontal="center" vertical="center" wrapText="1"/>
    </xf>
    <xf numFmtId="165" fontId="6" fillId="2" borderId="115" xfId="0" applyNumberFormat="1" applyFont="1" applyFill="1" applyBorder="1" applyAlignment="1">
      <alignment horizontal="center" vertical="center" wrapText="1"/>
    </xf>
    <xf numFmtId="165" fontId="6" fillId="2" borderId="116" xfId="0" applyNumberFormat="1" applyFont="1" applyFill="1" applyBorder="1" applyAlignment="1">
      <alignment horizontal="center" vertical="center" wrapText="1"/>
    </xf>
    <xf numFmtId="165" fontId="6" fillId="2" borderId="117" xfId="0" applyNumberFormat="1" applyFont="1" applyFill="1" applyBorder="1" applyAlignment="1">
      <alignment horizontal="center" vertical="center" wrapText="1"/>
    </xf>
    <xf numFmtId="165" fontId="6" fillId="2" borderId="132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4"/>
    <cellStyle name="Обычный 3" xfId="3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E53"/>
  <sheetViews>
    <sheetView tabSelected="1" zoomScaleNormal="100" zoomScaleSheetLayoutView="100" zoomScalePageLayoutView="115" workbookViewId="0">
      <pane xSplit="4" ySplit="6" topLeftCell="E16" activePane="bottomRight" state="frozen"/>
      <selection activeCell="R14" sqref="R14"/>
      <selection pane="topRight" activeCell="R14" sqref="R14"/>
      <selection pane="bottomLeft" activeCell="R14" sqref="R14"/>
      <selection pane="bottomRight" activeCell="AC24" sqref="AC24"/>
    </sheetView>
  </sheetViews>
  <sheetFormatPr defaultColWidth="9.28515625" defaultRowHeight="12.75" outlineLevelRow="1" outlineLevelCol="1" x14ac:dyDescent="0.2"/>
  <cols>
    <col min="1" max="1" width="3.5703125" style="23" customWidth="1"/>
    <col min="2" max="2" width="23.5703125" style="5" customWidth="1"/>
    <col min="3" max="3" width="4.140625" style="5" customWidth="1"/>
    <col min="4" max="4" width="12" style="5" customWidth="1"/>
    <col min="5" max="5" width="4.28515625" style="43" customWidth="1"/>
    <col min="6" max="7" width="7.5703125" style="45" customWidth="1"/>
    <col min="8" max="8" width="8.140625" style="45" bestFit="1" customWidth="1"/>
    <col min="9" max="9" width="7.5703125" style="45" customWidth="1"/>
    <col min="10" max="10" width="8" style="83" hidden="1" customWidth="1" outlineLevel="1"/>
    <col min="11" max="11" width="10.42578125" style="45" customWidth="1" collapsed="1"/>
    <col min="12" max="12" width="4.28515625" style="43" customWidth="1"/>
    <col min="13" max="16" width="8.28515625" style="45" bestFit="1" customWidth="1"/>
    <col min="17" max="17" width="8.28515625" style="83" hidden="1" customWidth="1" outlineLevel="1"/>
    <col min="18" max="18" width="11.140625" style="45" bestFit="1" customWidth="1" collapsed="1"/>
    <col min="19" max="19" width="4.28515625" style="43" customWidth="1"/>
    <col min="20" max="23" width="8.28515625" style="45" bestFit="1" customWidth="1"/>
    <col min="24" max="24" width="8.85546875" style="83" hidden="1" customWidth="1" outlineLevel="1"/>
    <col min="25" max="25" width="12" style="45" customWidth="1" collapsed="1"/>
    <col min="26" max="26" width="10.140625" style="5" bestFit="1" customWidth="1"/>
    <col min="27" max="29" width="10.140625" style="38" bestFit="1" customWidth="1"/>
    <col min="30" max="30" width="9.7109375" style="5" customWidth="1"/>
    <col min="31" max="31" width="12.140625" style="5" customWidth="1"/>
    <col min="32" max="16384" width="9.28515625" style="5"/>
  </cols>
  <sheetData>
    <row r="1" spans="1:31" s="1" customFormat="1" ht="111" hidden="1" customHeight="1" x14ac:dyDescent="0.3">
      <c r="A1" s="22"/>
      <c r="E1" s="41"/>
      <c r="F1" s="44"/>
      <c r="G1" s="44"/>
      <c r="H1" s="44"/>
      <c r="I1" s="44"/>
      <c r="J1" s="79"/>
      <c r="K1" s="44"/>
      <c r="L1" s="41"/>
      <c r="M1" s="44"/>
      <c r="N1" s="44"/>
      <c r="O1" s="44"/>
      <c r="P1" s="44"/>
      <c r="Q1" s="79"/>
      <c r="R1" s="44"/>
      <c r="S1" s="41"/>
      <c r="T1" s="44"/>
      <c r="U1" s="44"/>
      <c r="V1" s="44"/>
      <c r="W1" s="44"/>
      <c r="X1" s="79"/>
      <c r="Y1" s="44"/>
      <c r="AA1" s="218"/>
      <c r="AB1" s="218"/>
      <c r="AC1" s="218"/>
    </row>
    <row r="2" spans="1:31" s="2" customFormat="1" ht="26.25" customHeight="1" x14ac:dyDescent="0.2">
      <c r="A2" s="456" t="s">
        <v>78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  <c r="Q2" s="456"/>
      <c r="R2" s="456"/>
      <c r="S2" s="456"/>
      <c r="T2" s="456"/>
      <c r="U2" s="456"/>
      <c r="V2" s="456"/>
      <c r="W2" s="456"/>
      <c r="X2" s="456"/>
      <c r="Y2" s="456"/>
      <c r="Z2" s="428"/>
      <c r="AA2" s="219"/>
      <c r="AB2" s="219"/>
      <c r="AC2" s="219"/>
    </row>
    <row r="3" spans="1:31" s="4" customFormat="1" ht="15" customHeight="1" outlineLevel="1" x14ac:dyDescent="0.25">
      <c r="A3" s="349"/>
      <c r="B3" s="349"/>
      <c r="C3" s="349"/>
      <c r="D3" s="349"/>
      <c r="E3" s="42"/>
      <c r="F3" s="32"/>
      <c r="G3" s="32"/>
      <c r="H3" s="32"/>
      <c r="I3" s="258"/>
      <c r="J3" s="350"/>
      <c r="K3" s="32"/>
      <c r="L3" s="42"/>
      <c r="M3" s="32"/>
      <c r="N3" s="32"/>
      <c r="O3" s="32"/>
      <c r="P3" s="32"/>
      <c r="Q3" s="350"/>
      <c r="R3" s="32"/>
      <c r="S3" s="42"/>
      <c r="T3" s="32"/>
      <c r="U3" s="32"/>
      <c r="V3" s="32"/>
      <c r="W3" s="32"/>
      <c r="X3" s="350"/>
      <c r="Y3" s="32" t="s">
        <v>68</v>
      </c>
      <c r="Z3" s="349"/>
      <c r="AA3" s="220"/>
      <c r="AB3" s="220"/>
      <c r="AC3" s="220"/>
    </row>
    <row r="4" spans="1:31" ht="27.75" customHeight="1" x14ac:dyDescent="0.2">
      <c r="A4" s="457" t="s">
        <v>0</v>
      </c>
      <c r="B4" s="458"/>
      <c r="C4" s="461" t="s">
        <v>1</v>
      </c>
      <c r="D4" s="463" t="s">
        <v>56</v>
      </c>
      <c r="E4" s="465" t="s">
        <v>74</v>
      </c>
      <c r="F4" s="466"/>
      <c r="G4" s="466"/>
      <c r="H4" s="466"/>
      <c r="I4" s="466"/>
      <c r="J4" s="466"/>
      <c r="K4" s="467"/>
      <c r="L4" s="465" t="s">
        <v>75</v>
      </c>
      <c r="M4" s="466"/>
      <c r="N4" s="466"/>
      <c r="O4" s="466"/>
      <c r="P4" s="466"/>
      <c r="Q4" s="466"/>
      <c r="R4" s="466"/>
      <c r="S4" s="465" t="s">
        <v>76</v>
      </c>
      <c r="T4" s="466"/>
      <c r="U4" s="466"/>
      <c r="V4" s="466"/>
      <c r="W4" s="466"/>
      <c r="X4" s="466"/>
      <c r="Y4" s="468"/>
      <c r="Z4" s="452" t="s">
        <v>84</v>
      </c>
      <c r="AA4" s="453"/>
      <c r="AB4" s="454" t="s">
        <v>82</v>
      </c>
      <c r="AC4" s="455"/>
    </row>
    <row r="5" spans="1:31" ht="30" customHeight="1" x14ac:dyDescent="0.2">
      <c r="A5" s="459"/>
      <c r="B5" s="460"/>
      <c r="C5" s="462"/>
      <c r="D5" s="464"/>
      <c r="E5" s="155" t="s">
        <v>2</v>
      </c>
      <c r="F5" s="156" t="s">
        <v>3</v>
      </c>
      <c r="G5" s="156" t="s">
        <v>4</v>
      </c>
      <c r="H5" s="156" t="s">
        <v>5</v>
      </c>
      <c r="I5" s="157" t="s">
        <v>6</v>
      </c>
      <c r="J5" s="158" t="s">
        <v>7</v>
      </c>
      <c r="K5" s="351" t="s">
        <v>8</v>
      </c>
      <c r="L5" s="155" t="s">
        <v>2</v>
      </c>
      <c r="M5" s="156" t="s">
        <v>3</v>
      </c>
      <c r="N5" s="156" t="s">
        <v>4</v>
      </c>
      <c r="O5" s="156" t="s">
        <v>5</v>
      </c>
      <c r="P5" s="157" t="s">
        <v>6</v>
      </c>
      <c r="Q5" s="158" t="s">
        <v>7</v>
      </c>
      <c r="R5" s="352" t="s">
        <v>8</v>
      </c>
      <c r="S5" s="155" t="s">
        <v>2</v>
      </c>
      <c r="T5" s="156" t="s">
        <v>3</v>
      </c>
      <c r="U5" s="156" t="s">
        <v>4</v>
      </c>
      <c r="V5" s="156" t="s">
        <v>5</v>
      </c>
      <c r="W5" s="157" t="s">
        <v>6</v>
      </c>
      <c r="X5" s="158" t="s">
        <v>7</v>
      </c>
      <c r="Y5" s="353" t="s">
        <v>8</v>
      </c>
      <c r="Z5" s="442" t="s">
        <v>79</v>
      </c>
      <c r="AA5" s="431" t="s">
        <v>80</v>
      </c>
      <c r="AB5" s="432" t="s">
        <v>81</v>
      </c>
      <c r="AC5" s="430" t="s">
        <v>83</v>
      </c>
      <c r="AD5" s="5" t="s">
        <v>40</v>
      </c>
      <c r="AE5" s="5" t="s">
        <v>41</v>
      </c>
    </row>
    <row r="6" spans="1:31" ht="20.25" customHeight="1" collapsed="1" x14ac:dyDescent="0.25">
      <c r="A6" s="472" t="s">
        <v>37</v>
      </c>
      <c r="B6" s="473"/>
      <c r="C6" s="473"/>
      <c r="D6" s="425">
        <f>D7+D14+D20+D22+D24</f>
        <v>357334.90014048485</v>
      </c>
      <c r="E6" s="415"/>
      <c r="F6" s="416">
        <f>IF(SUBTOTAL(9,F7:F26)=0,"",SUBTOTAL(9,F7:F26))</f>
        <v>1626.075</v>
      </c>
      <c r="G6" s="417">
        <f>IF(SUBTOTAL(9,G7:G26)=0,"",SUBTOTAL(9,G7:G26))</f>
        <v>2794.7068550000004</v>
      </c>
      <c r="H6" s="418">
        <f>IF(SUBTOTAL(9,H7:H26)=0,"",SUBTOTAL(9,H7:H26))</f>
        <v>11365.145791299999</v>
      </c>
      <c r="I6" s="417">
        <f>IF(SUBTOTAL(9,I7:I26)=0,"",SUBTOTAL(9,I7:I26))</f>
        <v>1626.075</v>
      </c>
      <c r="J6" s="419">
        <f>SUM(F6:I6)-K6</f>
        <v>0</v>
      </c>
      <c r="K6" s="420">
        <f>SUBTOTAL(9,K7:K26)</f>
        <v>17412.002646300003</v>
      </c>
      <c r="L6" s="421"/>
      <c r="M6" s="416">
        <f>IF(SUBTOTAL(9,M7:M26)=0,"",SUBTOTAL(9,M7:M26))</f>
        <v>34088.49782879158</v>
      </c>
      <c r="N6" s="417">
        <f>IF(SUBTOTAL(9,N7:N26)=0,"",SUBTOTAL(9,N7:N26))</f>
        <v>35598.399032958252</v>
      </c>
      <c r="O6" s="418">
        <f>IF(SUBTOTAL(9,O7:O26)=0,"",SUBTOTAL(9,O7:O26))</f>
        <v>41769.10793295825</v>
      </c>
      <c r="P6" s="417">
        <f>IF(SUBTOTAL(9,P7:P26)=0,"",SUBTOTAL(9,P7:P26))</f>
        <v>47174.184807958256</v>
      </c>
      <c r="Q6" s="419">
        <f>SUM(M6:P6)-R6</f>
        <v>0</v>
      </c>
      <c r="R6" s="422">
        <f>SUBTOTAL(9,R7:R26)</f>
        <v>158630.18960266633</v>
      </c>
      <c r="S6" s="423"/>
      <c r="T6" s="416">
        <f>IF(SUBTOTAL(9,T7:T26)=0,"",SUBTOTAL(9,T7:T26))</f>
        <v>49668.35076553675</v>
      </c>
      <c r="U6" s="417">
        <f>IF(SUBTOTAL(9,U7:U26)=0,"",SUBTOTAL(9,U7:U26))</f>
        <v>54768.098625583414</v>
      </c>
      <c r="V6" s="418">
        <f>IF(SUBTOTAL(9,V7:V26)=0,"",SUBTOTAL(9,V7:V26))</f>
        <v>63081.326377590085</v>
      </c>
      <c r="W6" s="417">
        <f>IF(SUBTOTAL(9,W7:W26)=0,"",SUBTOTAL(9,W7:W26))</f>
        <v>49668.35076553675</v>
      </c>
      <c r="X6" s="419">
        <f>SUM(T6:W6)-Y6</f>
        <v>0</v>
      </c>
      <c r="Y6" s="424">
        <f>SUBTOTAL(9,Y7:Y26)</f>
        <v>217186.12653424701</v>
      </c>
      <c r="Z6" s="437">
        <f>D6</f>
        <v>357334.90014048485</v>
      </c>
      <c r="AA6" s="446">
        <f>AA7+AA14+AA20+AA22+AA24</f>
        <v>428801.88016858179</v>
      </c>
      <c r="AB6" s="444">
        <f>AB7+AB14+AB20+AB22+AB24</f>
        <v>393228.31878321327</v>
      </c>
      <c r="AC6" s="443">
        <f>AB6*1.2</f>
        <v>471873.98253985588</v>
      </c>
      <c r="AD6" s="24">
        <f>K6+R6+Y6</f>
        <v>393228.31878321338</v>
      </c>
      <c r="AE6" s="5">
        <f>AD6*1.2</f>
        <v>471873.98253985605</v>
      </c>
    </row>
    <row r="7" spans="1:31" s="6" customFormat="1" ht="34.5" customHeight="1" x14ac:dyDescent="0.2">
      <c r="A7" s="474" t="s">
        <v>86</v>
      </c>
      <c r="B7" s="475"/>
      <c r="C7" s="475"/>
      <c r="D7" s="205">
        <f>K7/D30+R7/D31+Y7/D32</f>
        <v>14334.603333333334</v>
      </c>
      <c r="E7" s="213"/>
      <c r="F7" s="354" t="str">
        <f>IF(SUBTOTAL(9,F8:F13)=0,"",SUBTOTAL(9,F8:F13))</f>
        <v/>
      </c>
      <c r="G7" s="354">
        <f>IF(SUBTOTAL(9,G8:G13)=0,"",SUBTOTAL(9,G8:G13))</f>
        <v>1168.6318550000001</v>
      </c>
      <c r="H7" s="354">
        <f>IF(SUBTOTAL(9,H8:H13)=0,"",SUBTOTAL(9,H8:H13))</f>
        <v>3873.1482088000002</v>
      </c>
      <c r="I7" s="354" t="str">
        <f t="shared" ref="I7:X7" si="0">IF(SUBTOTAL(9,I8:I13)=0,"",SUBTOTAL(9,I8:I13))</f>
        <v/>
      </c>
      <c r="J7" s="355" t="str">
        <f t="shared" si="0"/>
        <v/>
      </c>
      <c r="K7" s="224">
        <f t="shared" si="0"/>
        <v>5041.7800638000008</v>
      </c>
      <c r="L7" s="102"/>
      <c r="M7" s="224">
        <f t="shared" si="0"/>
        <v>340.70520833333342</v>
      </c>
      <c r="N7" s="224">
        <f t="shared" si="0"/>
        <v>1850.6064125000003</v>
      </c>
      <c r="O7" s="224">
        <f t="shared" si="0"/>
        <v>2132.3291666666669</v>
      </c>
      <c r="P7" s="224">
        <f t="shared" si="0"/>
        <v>912.89218750000009</v>
      </c>
      <c r="Q7" s="355" t="str">
        <f t="shared" si="0"/>
        <v/>
      </c>
      <c r="R7" s="356">
        <f t="shared" si="0"/>
        <v>5236.532975000001</v>
      </c>
      <c r="S7" s="213"/>
      <c r="T7" s="224" t="str">
        <f t="shared" si="0"/>
        <v/>
      </c>
      <c r="U7" s="224">
        <f t="shared" si="0"/>
        <v>2416.1033216666669</v>
      </c>
      <c r="V7" s="224">
        <f t="shared" si="0"/>
        <v>2775.7037425000003</v>
      </c>
      <c r="W7" s="224" t="str">
        <f t="shared" si="0"/>
        <v/>
      </c>
      <c r="X7" s="355" t="str">
        <f t="shared" si="0"/>
        <v/>
      </c>
      <c r="Y7" s="357">
        <f>IF(SUBTOTAL(9,Y8:Y13)=0,"",SUBTOTAL(9,Y8:Y13))</f>
        <v>5191.8070641666673</v>
      </c>
      <c r="Z7" s="451">
        <f>D7</f>
        <v>14334.603333333334</v>
      </c>
      <c r="AA7" s="447">
        <f>D7*1.2</f>
        <v>17201.524000000001</v>
      </c>
      <c r="AB7" s="450">
        <f>(K7+R7+Y7)</f>
        <v>15470.12010296667</v>
      </c>
      <c r="AC7" s="445">
        <f>AB7*1.2</f>
        <v>18564.144123560003</v>
      </c>
      <c r="AD7" s="24">
        <f>K7+R7+Y7</f>
        <v>15470.12010296667</v>
      </c>
      <c r="AE7" s="5">
        <f>AD7*1.2</f>
        <v>18564.144123560003</v>
      </c>
    </row>
    <row r="8" spans="1:31" ht="15" customHeight="1" outlineLevel="1" x14ac:dyDescent="0.2">
      <c r="A8" s="358">
        <v>1</v>
      </c>
      <c r="B8" s="215" t="s">
        <v>9</v>
      </c>
      <c r="C8" s="216" t="s">
        <v>10</v>
      </c>
      <c r="D8" s="273">
        <f>42.3/1.2</f>
        <v>35.25</v>
      </c>
      <c r="E8" s="106">
        <v>35</v>
      </c>
      <c r="F8" s="35"/>
      <c r="G8" s="35">
        <f>D30*D8*(E8-11)</f>
        <v>878.68098000000009</v>
      </c>
      <c r="H8" s="35">
        <f>D30*D8*11</f>
        <v>402.72878250000002</v>
      </c>
      <c r="I8" s="140"/>
      <c r="J8" s="85">
        <f t="shared" ref="J8:J13" si="1">D8*$D$30*E8-K8</f>
        <v>0</v>
      </c>
      <c r="K8" s="87">
        <f t="shared" ref="K8:K13" si="2">SUM(F8:I8)</f>
        <v>1281.4097625000002</v>
      </c>
      <c r="L8" s="106">
        <v>35</v>
      </c>
      <c r="M8" s="35">
        <f>$D$31*D8*5</f>
        <v>190.12968750000002</v>
      </c>
      <c r="N8" s="35">
        <f>D31*D8*10</f>
        <v>380.25937500000003</v>
      </c>
      <c r="O8" s="35">
        <f>D31*D8*10</f>
        <v>380.25937500000003</v>
      </c>
      <c r="P8" s="140">
        <f>D31*D8*10</f>
        <v>380.25937500000003</v>
      </c>
      <c r="Q8" s="85">
        <f t="shared" ref="Q8:Q13" si="3">D8*$D$31*L8-R8</f>
        <v>0</v>
      </c>
      <c r="R8" s="107">
        <f t="shared" ref="R8:R13" si="4">SUM(M8:P8)</f>
        <v>1330.9078125000001</v>
      </c>
      <c r="S8" s="94">
        <v>36</v>
      </c>
      <c r="T8" s="35"/>
      <c r="U8" s="35">
        <f>S8*D8/2*$D$32</f>
        <v>712.09300500000006</v>
      </c>
      <c r="V8" s="35">
        <f>S8*D8/2*$D$32</f>
        <v>712.09300500000006</v>
      </c>
      <c r="W8" s="140"/>
      <c r="X8" s="85">
        <f t="shared" ref="X8:X13" si="5">D8*$D$32*S8-Y8</f>
        <v>0</v>
      </c>
      <c r="Y8" s="359">
        <f t="shared" ref="Y8:Y13" si="6">SUM(T8:W8)</f>
        <v>1424.1860100000001</v>
      </c>
      <c r="Z8" s="438"/>
      <c r="AA8" s="448"/>
      <c r="AB8" s="433"/>
      <c r="AC8" s="434"/>
    </row>
    <row r="9" spans="1:31" s="10" customFormat="1" ht="15" customHeight="1" outlineLevel="1" x14ac:dyDescent="0.2">
      <c r="A9" s="360">
        <v>2</v>
      </c>
      <c r="B9" s="61" t="s">
        <v>11</v>
      </c>
      <c r="C9" s="62" t="s">
        <v>10</v>
      </c>
      <c r="D9" s="29">
        <f>33.5/1.2</f>
        <v>27.916666666666668</v>
      </c>
      <c r="E9" s="108">
        <v>20</v>
      </c>
      <c r="F9" s="36"/>
      <c r="G9" s="36">
        <f>D30*D9*10</f>
        <v>289.950875</v>
      </c>
      <c r="H9" s="36">
        <f>D30*D9*10</f>
        <v>289.950875</v>
      </c>
      <c r="I9" s="29"/>
      <c r="J9" s="75">
        <f t="shared" si="1"/>
        <v>0</v>
      </c>
      <c r="K9" s="225">
        <f t="shared" si="2"/>
        <v>579.90174999999999</v>
      </c>
      <c r="L9" s="108">
        <v>20</v>
      </c>
      <c r="M9" s="36">
        <f>D31*D9*5</f>
        <v>150.57552083333337</v>
      </c>
      <c r="N9" s="36">
        <f>D31*D9*5</f>
        <v>150.57552083333337</v>
      </c>
      <c r="O9" s="36">
        <f>D31*D9*5</f>
        <v>150.57552083333337</v>
      </c>
      <c r="P9" s="29">
        <f>D31*D9*5</f>
        <v>150.57552083333337</v>
      </c>
      <c r="Q9" s="75">
        <f t="shared" si="3"/>
        <v>0</v>
      </c>
      <c r="R9" s="109">
        <f t="shared" si="4"/>
        <v>602.30208333333348</v>
      </c>
      <c r="S9" s="95">
        <v>20</v>
      </c>
      <c r="T9" s="36"/>
      <c r="U9" s="36">
        <f>S9*D9*$D$32</f>
        <v>626.61191666666673</v>
      </c>
      <c r="V9" s="36"/>
      <c r="W9" s="29"/>
      <c r="X9" s="75">
        <f t="shared" si="5"/>
        <v>0</v>
      </c>
      <c r="Y9" s="361">
        <f t="shared" si="6"/>
        <v>626.61191666666673</v>
      </c>
      <c r="Z9" s="439"/>
      <c r="AA9" s="448"/>
      <c r="AB9" s="433"/>
      <c r="AC9" s="434"/>
    </row>
    <row r="10" spans="1:31" s="10" customFormat="1" ht="13.5" customHeight="1" outlineLevel="1" x14ac:dyDescent="0.2">
      <c r="A10" s="360">
        <v>3</v>
      </c>
      <c r="B10" s="61" t="s">
        <v>21</v>
      </c>
      <c r="C10" s="62" t="s">
        <v>10</v>
      </c>
      <c r="D10" s="29">
        <f>8.5/1.2</f>
        <v>7.0833333333333339</v>
      </c>
      <c r="E10" s="108">
        <v>50</v>
      </c>
      <c r="F10" s="36"/>
      <c r="G10" s="36"/>
      <c r="H10" s="36">
        <f>D30*E10*D10</f>
        <v>367.84812500000004</v>
      </c>
      <c r="I10" s="29"/>
      <c r="J10" s="75">
        <f t="shared" si="1"/>
        <v>0</v>
      </c>
      <c r="K10" s="225">
        <f t="shared" si="2"/>
        <v>367.84812500000004</v>
      </c>
      <c r="L10" s="108">
        <v>50</v>
      </c>
      <c r="M10" s="36"/>
      <c r="N10" s="36"/>
      <c r="O10" s="36"/>
      <c r="P10" s="29">
        <f>D31*D10*L10</f>
        <v>382.05729166666674</v>
      </c>
      <c r="Q10" s="75">
        <f t="shared" si="3"/>
        <v>0</v>
      </c>
      <c r="R10" s="109">
        <f t="shared" si="4"/>
        <v>382.05729166666674</v>
      </c>
      <c r="S10" s="95">
        <v>50</v>
      </c>
      <c r="T10" s="36"/>
      <c r="U10" s="36"/>
      <c r="V10" s="29">
        <f>D32*D10*S10</f>
        <v>397.47770833333334</v>
      </c>
      <c r="W10" s="29"/>
      <c r="X10" s="75">
        <f t="shared" si="5"/>
        <v>0</v>
      </c>
      <c r="Y10" s="361">
        <f t="shared" si="6"/>
        <v>397.47770833333334</v>
      </c>
      <c r="Z10" s="439"/>
      <c r="AA10" s="448"/>
      <c r="AB10" s="433"/>
      <c r="AC10" s="434"/>
    </row>
    <row r="11" spans="1:31" s="10" customFormat="1" ht="15" customHeight="1" outlineLevel="1" x14ac:dyDescent="0.2">
      <c r="A11" s="360">
        <v>4</v>
      </c>
      <c r="B11" s="61" t="s">
        <v>22</v>
      </c>
      <c r="C11" s="62" t="s">
        <v>10</v>
      </c>
      <c r="D11" s="29">
        <f>1152/1.2</f>
        <v>960</v>
      </c>
      <c r="E11" s="108"/>
      <c r="F11" s="36"/>
      <c r="G11" s="36"/>
      <c r="H11" s="36"/>
      <c r="I11" s="29"/>
      <c r="J11" s="75">
        <f t="shared" si="1"/>
        <v>0</v>
      </c>
      <c r="K11" s="225">
        <f t="shared" si="2"/>
        <v>0</v>
      </c>
      <c r="L11" s="108"/>
      <c r="M11" s="36"/>
      <c r="N11" s="36"/>
      <c r="O11" s="36"/>
      <c r="P11" s="29"/>
      <c r="Q11" s="75">
        <f t="shared" si="3"/>
        <v>0</v>
      </c>
      <c r="R11" s="109"/>
      <c r="S11" s="95">
        <v>1</v>
      </c>
      <c r="T11" s="36"/>
      <c r="U11" s="36">
        <f>S11*D11*$D$32</f>
        <v>1077.3984</v>
      </c>
      <c r="V11" s="36"/>
      <c r="W11" s="29"/>
      <c r="X11" s="75">
        <f t="shared" si="5"/>
        <v>0</v>
      </c>
      <c r="Y11" s="361">
        <f t="shared" si="6"/>
        <v>1077.3984</v>
      </c>
      <c r="Z11" s="439"/>
      <c r="AA11" s="448"/>
      <c r="AB11" s="433"/>
      <c r="AC11" s="434"/>
    </row>
    <row r="12" spans="1:31" s="10" customFormat="1" ht="14.25" customHeight="1" outlineLevel="1" x14ac:dyDescent="0.2">
      <c r="A12" s="360">
        <v>5</v>
      </c>
      <c r="B12" s="61" t="s">
        <v>20</v>
      </c>
      <c r="C12" s="62" t="s">
        <v>10</v>
      </c>
      <c r="D12" s="29">
        <f>1781.5/1.2</f>
        <v>1484.5833333333335</v>
      </c>
      <c r="E12" s="173">
        <v>1</v>
      </c>
      <c r="F12" s="169"/>
      <c r="G12" s="169"/>
      <c r="H12" s="169">
        <f>$D$30*$D12*E12</f>
        <v>1541.9327875000001</v>
      </c>
      <c r="I12" s="170"/>
      <c r="J12" s="171">
        <f t="shared" si="1"/>
        <v>0</v>
      </c>
      <c r="K12" s="172">
        <f t="shared" si="2"/>
        <v>1541.9327875000001</v>
      </c>
      <c r="L12" s="173">
        <v>1</v>
      </c>
      <c r="M12" s="169"/>
      <c r="N12" s="169"/>
      <c r="O12" s="169">
        <f>D12*L12*D31</f>
        <v>1601.4942708333335</v>
      </c>
      <c r="P12" s="170"/>
      <c r="Q12" s="171">
        <f t="shared" si="3"/>
        <v>0</v>
      </c>
      <c r="R12" s="174">
        <f t="shared" si="4"/>
        <v>1601.4942708333335</v>
      </c>
      <c r="S12" s="362">
        <v>1</v>
      </c>
      <c r="T12" s="169"/>
      <c r="U12" s="169"/>
      <c r="V12" s="169">
        <f>D12*S12*D32</f>
        <v>1666.1330291666668</v>
      </c>
      <c r="W12" s="170"/>
      <c r="X12" s="171">
        <f t="shared" si="5"/>
        <v>0</v>
      </c>
      <c r="Y12" s="361">
        <f t="shared" si="6"/>
        <v>1666.1330291666668</v>
      </c>
      <c r="Z12" s="439"/>
      <c r="AA12" s="448"/>
      <c r="AB12" s="433"/>
      <c r="AC12" s="434"/>
    </row>
    <row r="13" spans="1:31" s="10" customFormat="1" ht="27.75" customHeight="1" outlineLevel="1" x14ac:dyDescent="0.2">
      <c r="A13" s="363">
        <v>6</v>
      </c>
      <c r="B13" s="337" t="s">
        <v>70</v>
      </c>
      <c r="C13" s="167" t="s">
        <v>10</v>
      </c>
      <c r="D13" s="168">
        <f>1468.112/1.2</f>
        <v>1223.4266666666667</v>
      </c>
      <c r="E13" s="173">
        <v>1</v>
      </c>
      <c r="F13" s="169"/>
      <c r="G13" s="169"/>
      <c r="H13" s="169">
        <f>E13*D13*$D$30</f>
        <v>1270.6876388000001</v>
      </c>
      <c r="I13" s="170"/>
      <c r="J13" s="171">
        <f t="shared" si="1"/>
        <v>0</v>
      </c>
      <c r="K13" s="172">
        <f t="shared" si="2"/>
        <v>1270.6876388000001</v>
      </c>
      <c r="L13" s="173">
        <v>1</v>
      </c>
      <c r="M13" s="169"/>
      <c r="N13" s="169">
        <f>D31*D13*L13</f>
        <v>1319.7715166666669</v>
      </c>
      <c r="O13" s="169"/>
      <c r="P13" s="168"/>
      <c r="Q13" s="171">
        <f t="shared" si="3"/>
        <v>0</v>
      </c>
      <c r="R13" s="174">
        <f t="shared" si="4"/>
        <v>1319.7715166666669</v>
      </c>
      <c r="S13" s="175"/>
      <c r="T13" s="169"/>
      <c r="U13" s="169"/>
      <c r="V13" s="169"/>
      <c r="W13" s="168"/>
      <c r="X13" s="171">
        <f t="shared" si="5"/>
        <v>0</v>
      </c>
      <c r="Y13" s="364">
        <f t="shared" si="6"/>
        <v>0</v>
      </c>
      <c r="Z13" s="439"/>
      <c r="AA13" s="448"/>
      <c r="AB13" s="433"/>
      <c r="AC13" s="434"/>
    </row>
    <row r="14" spans="1:31" s="11" customFormat="1" ht="37.5" customHeight="1" x14ac:dyDescent="0.2">
      <c r="A14" s="476" t="s">
        <v>87</v>
      </c>
      <c r="B14" s="477"/>
      <c r="C14" s="477"/>
      <c r="D14" s="205">
        <f>K14/D30+R14/D31+Y14/D32</f>
        <v>15005.500000000002</v>
      </c>
      <c r="E14" s="176"/>
      <c r="F14" s="177" t="str">
        <f t="shared" ref="F14:K14" si="7">IF(SUBTOTAL(9,F15:F19)=0,"",SUBTOTAL(9,F15:F19))</f>
        <v/>
      </c>
      <c r="G14" s="177" t="str">
        <f t="shared" si="7"/>
        <v/>
      </c>
      <c r="H14" s="202">
        <f t="shared" si="7"/>
        <v>5865.9225825000003</v>
      </c>
      <c r="I14" s="202" t="str">
        <f t="shared" si="7"/>
        <v/>
      </c>
      <c r="J14" s="178" t="str">
        <f t="shared" si="7"/>
        <v/>
      </c>
      <c r="K14" s="179">
        <f t="shared" si="7"/>
        <v>5865.9225825000003</v>
      </c>
      <c r="L14" s="180"/>
      <c r="M14" s="179" t="str">
        <f>IF(SUBTOTAL(9,M15:M19)=0,"",SUBTOTAL(9,M15:M19))</f>
        <v/>
      </c>
      <c r="N14" s="179" t="str">
        <f>IF(SUBTOTAL(9,N15:N19)=0,"",SUBTOTAL(9,N15:N19))</f>
        <v/>
      </c>
      <c r="O14" s="179">
        <f>IF(SUBTOTAL(9,O15:O19)=0,"",SUBTOTAL(9,O15:O19))</f>
        <v>5888.9861458333344</v>
      </c>
      <c r="P14" s="179" t="str">
        <f>IF(SUBTOTAL(9,P15:P19)=0,"",SUBTOTAL(9,P15:P19))</f>
        <v/>
      </c>
      <c r="Q14" s="178"/>
      <c r="R14" s="181">
        <f>IF(SUBTOTAL(9,R15:R19)=0,"",SUBTOTAL(9,R15:R19))</f>
        <v>5888.9861458333344</v>
      </c>
      <c r="S14" s="182"/>
      <c r="T14" s="179" t="str">
        <f t="shared" ref="T14:Y14" si="8">IF(SUBTOTAL(9,T15:T19)=0,"",SUBTOTAL(9,T15:T19))</f>
        <v/>
      </c>
      <c r="U14" s="179" t="str">
        <f t="shared" si="8"/>
        <v/>
      </c>
      <c r="V14" s="179">
        <f t="shared" si="8"/>
        <v>4375.4346133333329</v>
      </c>
      <c r="W14" s="179" t="str">
        <f t="shared" si="8"/>
        <v/>
      </c>
      <c r="X14" s="178" t="str">
        <f t="shared" si="8"/>
        <v/>
      </c>
      <c r="Y14" s="365">
        <f t="shared" si="8"/>
        <v>4375.4346133333329</v>
      </c>
      <c r="Z14" s="451">
        <f>D14</f>
        <v>15005.500000000002</v>
      </c>
      <c r="AA14" s="447">
        <f>D14*1.2</f>
        <v>18006.600000000002</v>
      </c>
      <c r="AB14" s="450">
        <f>(K14+R14+Y14)</f>
        <v>16130.343341666668</v>
      </c>
      <c r="AC14" s="445">
        <f>AB14*1.2</f>
        <v>19356.41201</v>
      </c>
      <c r="AD14" s="24">
        <f>K14+R14+Y14</f>
        <v>16130.343341666668</v>
      </c>
      <c r="AE14" s="5">
        <f>AD14*1.2</f>
        <v>19356.41201</v>
      </c>
    </row>
    <row r="15" spans="1:31" s="10" customFormat="1" ht="15" customHeight="1" outlineLevel="1" x14ac:dyDescent="0.2">
      <c r="A15" s="358">
        <v>1</v>
      </c>
      <c r="B15" s="188" t="s">
        <v>72</v>
      </c>
      <c r="C15" s="189" t="s">
        <v>10</v>
      </c>
      <c r="D15" s="269">
        <f>714.9/1.2</f>
        <v>595.75</v>
      </c>
      <c r="E15" s="366">
        <v>2</v>
      </c>
      <c r="F15" s="59"/>
      <c r="G15" s="59"/>
      <c r="H15" s="59">
        <f>$D$30*D15*E15</f>
        <v>1237.5276449999999</v>
      </c>
      <c r="I15" s="39"/>
      <c r="J15" s="367">
        <f>D15*$D$30*E15-K15</f>
        <v>0</v>
      </c>
      <c r="K15" s="225">
        <f>SUM(F15:I15)</f>
        <v>1237.5276449999999</v>
      </c>
      <c r="L15" s="368">
        <v>3</v>
      </c>
      <c r="M15" s="59"/>
      <c r="N15" s="59"/>
      <c r="O15" s="59">
        <f>$D$31*$D15*$L15</f>
        <v>1927.9959375000001</v>
      </c>
      <c r="P15" s="39"/>
      <c r="Q15" s="367">
        <f>D15*$D$31*L15-R15</f>
        <v>0</v>
      </c>
      <c r="R15" s="109">
        <f>SUM(M15:P15)</f>
        <v>1927.9959375000001</v>
      </c>
      <c r="S15" s="369">
        <v>5</v>
      </c>
      <c r="T15" s="36"/>
      <c r="U15" s="59"/>
      <c r="V15" s="59">
        <f>$D$32*S15*D15</f>
        <v>3343.0213374999998</v>
      </c>
      <c r="W15" s="39"/>
      <c r="X15" s="367">
        <f>D15*$D$32*S15-Y15</f>
        <v>0</v>
      </c>
      <c r="Y15" s="364">
        <f>SUM(T15:W15)</f>
        <v>3343.0213374999998</v>
      </c>
      <c r="Z15" s="440"/>
      <c r="AA15" s="448"/>
      <c r="AB15" s="433"/>
      <c r="AC15" s="434"/>
    </row>
    <row r="16" spans="1:31" s="10" customFormat="1" ht="15" customHeight="1" outlineLevel="1" x14ac:dyDescent="0.2">
      <c r="A16" s="360">
        <v>2</v>
      </c>
      <c r="B16" s="370" t="s">
        <v>71</v>
      </c>
      <c r="C16" s="371" t="s">
        <v>10</v>
      </c>
      <c r="D16" s="39">
        <f>604.5/1.2</f>
        <v>503.75</v>
      </c>
      <c r="E16" s="113"/>
      <c r="F16" s="59"/>
      <c r="G16" s="59"/>
      <c r="H16" s="59"/>
      <c r="I16" s="39"/>
      <c r="J16" s="84">
        <f>D16*$D$30*E16-K16</f>
        <v>0</v>
      </c>
      <c r="K16" s="225">
        <f>SUM(F16:I16)</f>
        <v>0</v>
      </c>
      <c r="L16" s="262">
        <v>1</v>
      </c>
      <c r="M16" s="59"/>
      <c r="N16" s="59"/>
      <c r="O16" s="59">
        <f>$D$31*$D16*$L16</f>
        <v>543.42031250000002</v>
      </c>
      <c r="P16" s="39"/>
      <c r="Q16" s="84">
        <f>D16*$D$31*L16-R16</f>
        <v>0</v>
      </c>
      <c r="R16" s="109">
        <f>SUM(M16:P16)</f>
        <v>543.42031250000002</v>
      </c>
      <c r="S16" s="271"/>
      <c r="T16" s="36"/>
      <c r="U16" s="59"/>
      <c r="V16" s="59"/>
      <c r="W16" s="39"/>
      <c r="X16" s="84">
        <f>D16*$D$32*S16-Y16</f>
        <v>0</v>
      </c>
      <c r="Y16" s="364">
        <f>SUM(T16:W16)</f>
        <v>0</v>
      </c>
      <c r="Z16" s="435"/>
      <c r="AA16" s="448"/>
      <c r="AB16" s="433"/>
      <c r="AC16" s="434"/>
    </row>
    <row r="17" spans="1:31" s="10" customFormat="1" ht="15" customHeight="1" outlineLevel="1" x14ac:dyDescent="0.2">
      <c r="A17" s="360">
        <v>3</v>
      </c>
      <c r="B17" s="345" t="s">
        <v>73</v>
      </c>
      <c r="C17" s="346" t="s">
        <v>10</v>
      </c>
      <c r="D17" s="347">
        <f>(1091.9+12)/1.2</f>
        <v>919.91666666666674</v>
      </c>
      <c r="E17" s="348">
        <v>1</v>
      </c>
      <c r="F17" s="59"/>
      <c r="G17" s="59"/>
      <c r="H17" s="59">
        <f>$D$30*D17*E17</f>
        <v>955.45304750000003</v>
      </c>
      <c r="I17" s="347"/>
      <c r="J17" s="84">
        <f>D17*$D$30*E17-K17</f>
        <v>0</v>
      </c>
      <c r="K17" s="172">
        <f>SUM(F17:I17)</f>
        <v>955.45304750000003</v>
      </c>
      <c r="L17" s="263"/>
      <c r="M17" s="59"/>
      <c r="N17" s="59"/>
      <c r="O17" s="59"/>
      <c r="P17" s="29"/>
      <c r="Q17" s="84">
        <f>D17*$D$31*L17-R17</f>
        <v>0</v>
      </c>
      <c r="R17" s="109">
        <f>SUM(M17:P17)</f>
        <v>0</v>
      </c>
      <c r="S17" s="372">
        <v>1</v>
      </c>
      <c r="T17" s="36"/>
      <c r="U17" s="59"/>
      <c r="V17" s="59">
        <f>$D$32*S17*D17</f>
        <v>1032.4132758333335</v>
      </c>
      <c r="W17" s="347"/>
      <c r="X17" s="84">
        <f>D17*$D$32*S17-Y17</f>
        <v>0</v>
      </c>
      <c r="Y17" s="364">
        <f>SUM(T17:W17)</f>
        <v>1032.4132758333335</v>
      </c>
      <c r="Z17" s="435"/>
      <c r="AA17" s="448"/>
      <c r="AB17" s="433"/>
      <c r="AC17" s="434"/>
    </row>
    <row r="18" spans="1:31" s="10" customFormat="1" ht="14.25" customHeight="1" outlineLevel="1" x14ac:dyDescent="0.2">
      <c r="A18" s="360">
        <v>4</v>
      </c>
      <c r="B18" s="345" t="s">
        <v>77</v>
      </c>
      <c r="C18" s="346" t="s">
        <v>10</v>
      </c>
      <c r="D18" s="347">
        <f>1679.9/1.2</f>
        <v>1399.9166666666667</v>
      </c>
      <c r="E18" s="348"/>
      <c r="F18" s="59"/>
      <c r="G18" s="59"/>
      <c r="H18" s="59"/>
      <c r="I18" s="347"/>
      <c r="J18" s="84">
        <f>D18*$D$30*E18-K18</f>
        <v>0</v>
      </c>
      <c r="K18" s="172">
        <f>SUM(F18:I18)</f>
        <v>0</v>
      </c>
      <c r="L18" s="262">
        <v>1</v>
      </c>
      <c r="M18" s="59"/>
      <c r="N18" s="59"/>
      <c r="O18" s="59">
        <f>$D$31*$D18*$L18</f>
        <v>1510.160104166667</v>
      </c>
      <c r="P18" s="347"/>
      <c r="Q18" s="84">
        <f>D18*$D$31*L18-R18</f>
        <v>0</v>
      </c>
      <c r="R18" s="109">
        <f>SUM(M18:P18)</f>
        <v>1510.160104166667</v>
      </c>
      <c r="S18" s="271"/>
      <c r="T18" s="36"/>
      <c r="U18" s="59"/>
      <c r="V18" s="59"/>
      <c r="W18" s="347"/>
      <c r="X18" s="84">
        <f>D18*$D$32*S18-Y18</f>
        <v>0</v>
      </c>
      <c r="Y18" s="364">
        <f>SUM(T18:W18)</f>
        <v>0</v>
      </c>
      <c r="Z18" s="435"/>
      <c r="AA18" s="448"/>
      <c r="AB18" s="433"/>
      <c r="AC18" s="434"/>
    </row>
    <row r="19" spans="1:31" s="10" customFormat="1" ht="15" customHeight="1" outlineLevel="1" x14ac:dyDescent="0.2">
      <c r="A19" s="360">
        <v>5</v>
      </c>
      <c r="B19" s="345" t="s">
        <v>59</v>
      </c>
      <c r="C19" s="346" t="s">
        <v>10</v>
      </c>
      <c r="D19" s="347">
        <f>1060.9/1.2</f>
        <v>884.08333333333348</v>
      </c>
      <c r="E19" s="348">
        <v>4</v>
      </c>
      <c r="F19" s="59"/>
      <c r="G19" s="59"/>
      <c r="H19" s="59">
        <f>$D$30*D19*E19</f>
        <v>3672.9418900000005</v>
      </c>
      <c r="I19" s="347"/>
      <c r="J19" s="84">
        <f>D19*$D$30*E19-K19</f>
        <v>0</v>
      </c>
      <c r="K19" s="172">
        <f>SUM(F19:I19)</f>
        <v>3672.9418900000005</v>
      </c>
      <c r="L19" s="263">
        <v>2</v>
      </c>
      <c r="M19" s="59"/>
      <c r="N19" s="59"/>
      <c r="O19" s="59">
        <f>$D$31*$D19*$L19</f>
        <v>1907.4097916666672</v>
      </c>
      <c r="P19" s="29"/>
      <c r="Q19" s="84">
        <f>D19*$D$31*L19-R19</f>
        <v>0</v>
      </c>
      <c r="R19" s="109">
        <f>SUM(M19:P19)</f>
        <v>1907.4097916666672</v>
      </c>
      <c r="S19" s="373"/>
      <c r="T19" s="36"/>
      <c r="U19" s="59"/>
      <c r="V19" s="59"/>
      <c r="W19" s="347"/>
      <c r="X19" s="84">
        <f>D19*$D$32*S19-Y19</f>
        <v>0</v>
      </c>
      <c r="Y19" s="364">
        <f>SUM(T19:W19)</f>
        <v>0</v>
      </c>
      <c r="Z19" s="435"/>
      <c r="AA19" s="448"/>
      <c r="AB19" s="433"/>
      <c r="AC19" s="434"/>
    </row>
    <row r="20" spans="1:31" s="11" customFormat="1" ht="47.25" customHeight="1" x14ac:dyDescent="0.2">
      <c r="A20" s="469" t="s">
        <v>88</v>
      </c>
      <c r="B20" s="470"/>
      <c r="C20" s="470"/>
      <c r="D20" s="205">
        <f>R20/D31</f>
        <v>11600</v>
      </c>
      <c r="E20" s="374"/>
      <c r="F20" s="375" t="str">
        <f t="shared" ref="F20:K20" si="9">IF(SUBTOTAL(9,F21:F21)=0,"",SUBTOTAL(9,F21:F21))</f>
        <v/>
      </c>
      <c r="G20" s="375" t="str">
        <f t="shared" si="9"/>
        <v/>
      </c>
      <c r="H20" s="376" t="str">
        <f t="shared" si="9"/>
        <v/>
      </c>
      <c r="I20" s="376" t="str">
        <f t="shared" si="9"/>
        <v/>
      </c>
      <c r="J20" s="375" t="str">
        <f t="shared" si="9"/>
        <v/>
      </c>
      <c r="K20" s="377" t="str">
        <f t="shared" si="9"/>
        <v/>
      </c>
      <c r="L20" s="180"/>
      <c r="M20" s="377" t="str">
        <f t="shared" ref="M20:R20" si="10">IF(SUBTOTAL(9,M21:M21)=0,"",SUBTOTAL(9,M21:M21))</f>
        <v/>
      </c>
      <c r="N20" s="376" t="str">
        <f t="shared" si="10"/>
        <v/>
      </c>
      <c r="O20" s="376" t="str">
        <f t="shared" si="10"/>
        <v/>
      </c>
      <c r="P20" s="376">
        <f t="shared" si="10"/>
        <v>12513.500000000002</v>
      </c>
      <c r="Q20" s="375" t="str">
        <f t="shared" si="10"/>
        <v/>
      </c>
      <c r="R20" s="378">
        <f t="shared" si="10"/>
        <v>12513.500000000002</v>
      </c>
      <c r="S20" s="182"/>
      <c r="T20" s="376" t="str">
        <f t="shared" ref="T20:Y20" si="11">IF(SUBTOTAL(9,T21:T21)=0,"",SUBTOTAL(9,T21:T21))</f>
        <v/>
      </c>
      <c r="U20" s="376" t="str">
        <f t="shared" si="11"/>
        <v/>
      </c>
      <c r="V20" s="376" t="str">
        <f t="shared" si="11"/>
        <v/>
      </c>
      <c r="W20" s="376" t="str">
        <f t="shared" si="11"/>
        <v/>
      </c>
      <c r="X20" s="375" t="str">
        <f t="shared" si="11"/>
        <v/>
      </c>
      <c r="Y20" s="379" t="str">
        <f t="shared" si="11"/>
        <v/>
      </c>
      <c r="Z20" s="451">
        <f>D20</f>
        <v>11600</v>
      </c>
      <c r="AA20" s="447">
        <f>D20*1.2</f>
        <v>13920</v>
      </c>
      <c r="AB20" s="450">
        <f>(R20)</f>
        <v>12513.500000000002</v>
      </c>
      <c r="AC20" s="445">
        <f>AB20*1.2</f>
        <v>15016.2</v>
      </c>
      <c r="AD20" s="24">
        <f>R20</f>
        <v>12513.500000000002</v>
      </c>
      <c r="AE20" s="5">
        <f>AD20*1.2</f>
        <v>15016.2</v>
      </c>
    </row>
    <row r="21" spans="1:31" s="17" customFormat="1" ht="77.25" customHeight="1" outlineLevel="1" x14ac:dyDescent="0.2">
      <c r="A21" s="380">
        <v>1</v>
      </c>
      <c r="B21" s="370" t="s">
        <v>85</v>
      </c>
      <c r="C21" s="381" t="s">
        <v>18</v>
      </c>
      <c r="D21" s="336">
        <f>232*(60/1.2)</f>
        <v>11600</v>
      </c>
      <c r="E21" s="381"/>
      <c r="F21" s="48"/>
      <c r="G21" s="49"/>
      <c r="H21" s="49"/>
      <c r="I21" s="49"/>
      <c r="J21" s="73">
        <f>D21*$D$30*E21-K21</f>
        <v>0</v>
      </c>
      <c r="K21" s="229">
        <f>SUM(F21:I21)</f>
        <v>0</v>
      </c>
      <c r="L21" s="118">
        <v>1</v>
      </c>
      <c r="M21" s="48"/>
      <c r="N21" s="49"/>
      <c r="O21" s="49"/>
      <c r="P21" s="33">
        <f>L21*D21*D31</f>
        <v>12513.500000000002</v>
      </c>
      <c r="Q21" s="123">
        <f>$D21*$D$31*L21-R21</f>
        <v>0</v>
      </c>
      <c r="R21" s="115">
        <f>SUM(M21:P21)</f>
        <v>12513.500000000002</v>
      </c>
      <c r="S21" s="97"/>
      <c r="T21" s="48"/>
      <c r="U21" s="49"/>
      <c r="V21" s="49"/>
      <c r="W21" s="33"/>
      <c r="X21" s="123">
        <f>$D21*$D$32*S21-Y21</f>
        <v>0</v>
      </c>
      <c r="Y21" s="382">
        <f>SUM(T21:W21)</f>
        <v>0</v>
      </c>
      <c r="Z21" s="440"/>
      <c r="AA21" s="449"/>
      <c r="AB21" s="435"/>
      <c r="AC21" s="436"/>
    </row>
    <row r="22" spans="1:31" ht="30.75" customHeight="1" x14ac:dyDescent="0.2">
      <c r="A22" s="469" t="s">
        <v>89</v>
      </c>
      <c r="B22" s="470"/>
      <c r="C22" s="470"/>
      <c r="D22" s="205">
        <f>Y22/D32</f>
        <v>7970.74</v>
      </c>
      <c r="E22" s="374"/>
      <c r="F22" s="383" t="str">
        <f t="shared" ref="F22:Y22" si="12">IF(SUBTOTAL(9,F23:F23)=0,"",SUBTOTAL(9,F23:F23))</f>
        <v/>
      </c>
      <c r="G22" s="383" t="str">
        <f t="shared" si="12"/>
        <v/>
      </c>
      <c r="H22" s="383" t="str">
        <f t="shared" si="12"/>
        <v/>
      </c>
      <c r="I22" s="383" t="str">
        <f t="shared" si="12"/>
        <v/>
      </c>
      <c r="J22" s="384" t="str">
        <f t="shared" si="12"/>
        <v/>
      </c>
      <c r="K22" s="377" t="str">
        <f t="shared" si="12"/>
        <v/>
      </c>
      <c r="L22" s="180" t="str">
        <f t="shared" si="12"/>
        <v/>
      </c>
      <c r="M22" s="383" t="str">
        <f t="shared" si="12"/>
        <v/>
      </c>
      <c r="N22" s="383" t="str">
        <f t="shared" si="12"/>
        <v/>
      </c>
      <c r="O22" s="376" t="str">
        <f t="shared" si="12"/>
        <v/>
      </c>
      <c r="P22" s="383" t="str">
        <f t="shared" si="12"/>
        <v/>
      </c>
      <c r="Q22" s="384" t="str">
        <f t="shared" si="12"/>
        <v/>
      </c>
      <c r="R22" s="378" t="str">
        <f t="shared" si="12"/>
        <v/>
      </c>
      <c r="S22" s="182"/>
      <c r="T22" s="383" t="str">
        <f t="shared" si="12"/>
        <v/>
      </c>
      <c r="U22" s="376">
        <f t="shared" si="12"/>
        <v>2683.6445383800001</v>
      </c>
      <c r="V22" s="376">
        <f t="shared" si="12"/>
        <v>6261.8372562200002</v>
      </c>
      <c r="W22" s="383" t="str">
        <f t="shared" si="12"/>
        <v/>
      </c>
      <c r="X22" s="384" t="str">
        <f t="shared" si="12"/>
        <v/>
      </c>
      <c r="Y22" s="379">
        <f t="shared" si="12"/>
        <v>8945.4817946000003</v>
      </c>
      <c r="Z22" s="451">
        <f>D22</f>
        <v>7970.74</v>
      </c>
      <c r="AA22" s="447">
        <f>D22*1.2</f>
        <v>9564.887999999999</v>
      </c>
      <c r="AB22" s="450">
        <f>Y22</f>
        <v>8945.4817946000003</v>
      </c>
      <c r="AC22" s="445">
        <f>AB22*1.2</f>
        <v>10734.57815352</v>
      </c>
      <c r="AD22" s="24">
        <f>Y22</f>
        <v>8945.4817946000003</v>
      </c>
      <c r="AE22" s="5">
        <f>AD22*1.2</f>
        <v>10734.57815352</v>
      </c>
    </row>
    <row r="23" spans="1:31" s="18" customFormat="1" ht="54" customHeight="1" outlineLevel="1" x14ac:dyDescent="0.2">
      <c r="A23" s="385">
        <v>1</v>
      </c>
      <c r="B23" s="386" t="s">
        <v>65</v>
      </c>
      <c r="C23" s="387" t="s">
        <v>18</v>
      </c>
      <c r="D23" s="388">
        <f>9564.888/1.2</f>
        <v>7970.7400000000007</v>
      </c>
      <c r="E23" s="389"/>
      <c r="F23" s="390"/>
      <c r="G23" s="391"/>
      <c r="H23" s="391"/>
      <c r="I23" s="392"/>
      <c r="J23" s="393">
        <f>D23*$D$30*E23-K23</f>
        <v>0</v>
      </c>
      <c r="K23" s="394">
        <f>SUM(F23:I23)</f>
        <v>0</v>
      </c>
      <c r="L23" s="395"/>
      <c r="M23" s="390"/>
      <c r="N23" s="391"/>
      <c r="O23" s="391"/>
      <c r="P23" s="392"/>
      <c r="Q23" s="393">
        <f>K23*$D$30*L23-R23</f>
        <v>0</v>
      </c>
      <c r="R23" s="396">
        <f>SUM(M23:P23)</f>
        <v>0</v>
      </c>
      <c r="S23" s="397">
        <v>1</v>
      </c>
      <c r="T23" s="390"/>
      <c r="U23" s="391">
        <f>D32*S23*D23*0.3</f>
        <v>2683.6445383800001</v>
      </c>
      <c r="V23" s="391">
        <f>D32*S23*D23*0.7</f>
        <v>6261.8372562200002</v>
      </c>
      <c r="W23" s="392"/>
      <c r="X23" s="393">
        <f>$D23*$D$32*S23-Y23</f>
        <v>0</v>
      </c>
      <c r="Y23" s="398">
        <f>SUM(T23:W23)</f>
        <v>8945.4817946000003</v>
      </c>
      <c r="Z23" s="440"/>
      <c r="AA23" s="449"/>
      <c r="AB23" s="435"/>
      <c r="AC23" s="436"/>
    </row>
    <row r="24" spans="1:31" ht="60.75" customHeight="1" x14ac:dyDescent="0.2">
      <c r="A24" s="469" t="s">
        <v>90</v>
      </c>
      <c r="B24" s="471"/>
      <c r="C24" s="471"/>
      <c r="D24" s="399">
        <f>K24/D30+R24/D31+Y24/D32</f>
        <v>308424.05680715153</v>
      </c>
      <c r="E24" s="338"/>
      <c r="F24" s="339">
        <f>IF(SUBTOTAL(9,F25:F26)=0,"",SUBTOTAL(9,F25:F26))</f>
        <v>1626.075</v>
      </c>
      <c r="G24" s="339">
        <f>IF(SUBTOTAL(9,G25:G26)=0,"",SUBTOTAL(9,G25:G26))</f>
        <v>1626.075</v>
      </c>
      <c r="H24" s="339">
        <f>IF(SUBTOTAL(9,H25:H26)=0,"",SUBTOTAL(9,H25:H26))</f>
        <v>1626.075</v>
      </c>
      <c r="I24" s="339">
        <f>IF(SUBTOTAL(9,I25:I26)=0,"",SUBTOTAL(9,I25:I26))</f>
        <v>1626.075</v>
      </c>
      <c r="J24" s="340"/>
      <c r="K24" s="341">
        <f>SUBTOTAL(9,K25:K26)</f>
        <v>6504.3</v>
      </c>
      <c r="L24" s="342"/>
      <c r="M24" s="339">
        <f>IF(SUBTOTAL(9,M25:M26)=0,"",SUBTOTAL(9,M25:M26))</f>
        <v>33747.792620458247</v>
      </c>
      <c r="N24" s="339">
        <f>IF(SUBTOTAL(9,N25:N26)=0,"",SUBTOTAL(9,N25:N26))</f>
        <v>33747.792620458247</v>
      </c>
      <c r="O24" s="339">
        <f>IF(SUBTOTAL(9,O25:O26)=0,"",SUBTOTAL(9,O25:O26))</f>
        <v>33747.792620458247</v>
      </c>
      <c r="P24" s="339">
        <f>IF(SUBTOTAL(9,P25:P26)=0,"",SUBTOTAL(9,P25:P26))</f>
        <v>33747.792620458247</v>
      </c>
      <c r="Q24" s="340"/>
      <c r="R24" s="343">
        <f>SUBTOTAL(9,R25:R26)</f>
        <v>134991.17048183299</v>
      </c>
      <c r="S24" s="344"/>
      <c r="T24" s="339">
        <f>IF(SUBTOTAL(9,T25:T26)=0,"",SUBTOTAL(9,T25:T26))</f>
        <v>49668.35076553675</v>
      </c>
      <c r="U24" s="339">
        <f>IF(SUBTOTAL(9,U25:U26)=0,"",SUBTOTAL(9,U25:U26))</f>
        <v>49668.35076553675</v>
      </c>
      <c r="V24" s="339">
        <f>IF(SUBTOTAL(9,V25:V26)=0,"",SUBTOTAL(9,V25:V26))</f>
        <v>49668.35076553675</v>
      </c>
      <c r="W24" s="339">
        <f>IF(SUBTOTAL(9,W25:W26)=0,"",SUBTOTAL(9,W25:W26))</f>
        <v>49668.35076553675</v>
      </c>
      <c r="X24" s="340"/>
      <c r="Y24" s="400">
        <f>SUBTOTAL(9,Y25:Y26)</f>
        <v>198673.403062147</v>
      </c>
      <c r="Z24" s="451">
        <f>D24</f>
        <v>308424.05680715153</v>
      </c>
      <c r="AA24" s="447">
        <f>D24*1.2</f>
        <v>370108.8681685818</v>
      </c>
      <c r="AB24" s="450">
        <f>(K24+R24+Y24)</f>
        <v>340168.87354397995</v>
      </c>
      <c r="AC24" s="445">
        <f>AB24*1.2</f>
        <v>408202.64825277595</v>
      </c>
      <c r="AD24" s="24">
        <f>K24+R24+Y24</f>
        <v>340168.87354397995</v>
      </c>
      <c r="AE24" s="5">
        <f>AD24*1.2</f>
        <v>408202.64825277595</v>
      </c>
    </row>
    <row r="25" spans="1:31" s="18" customFormat="1" ht="40.5" customHeight="1" outlineLevel="1" x14ac:dyDescent="0.2">
      <c r="A25" s="401">
        <v>1</v>
      </c>
      <c r="B25" s="402" t="s">
        <v>26</v>
      </c>
      <c r="C25" s="403" t="s">
        <v>24</v>
      </c>
      <c r="D25" s="404">
        <f>K25/D30+R25/D31+Y25/D32</f>
        <v>242226.24863244328</v>
      </c>
      <c r="E25" s="405">
        <v>1</v>
      </c>
      <c r="F25" s="406">
        <f>K25*0.25</f>
        <v>1276.9275</v>
      </c>
      <c r="G25" s="406">
        <f>K25*0.25</f>
        <v>1276.9275</v>
      </c>
      <c r="H25" s="406">
        <f>K25*0.25</f>
        <v>1276.9275</v>
      </c>
      <c r="I25" s="406">
        <f>K25*0.25</f>
        <v>1276.9275</v>
      </c>
      <c r="J25" s="407"/>
      <c r="K25" s="408">
        <v>5107.71</v>
      </c>
      <c r="L25" s="409">
        <v>1</v>
      </c>
      <c r="M25" s="406">
        <f>R25*0.25</f>
        <v>26505.821729833249</v>
      </c>
      <c r="N25" s="406">
        <f>R25*0.25</f>
        <v>26505.821729833249</v>
      </c>
      <c r="O25" s="406">
        <f>R25*0.25</f>
        <v>26505.821729833249</v>
      </c>
      <c r="P25" s="406">
        <f>R25*0.25</f>
        <v>26505.821729833249</v>
      </c>
      <c r="Q25" s="410"/>
      <c r="R25" s="411">
        <v>106023.286919333</v>
      </c>
      <c r="S25" s="412">
        <v>1</v>
      </c>
      <c r="T25" s="406">
        <f>Y25*0.25</f>
        <v>39006.604921786748</v>
      </c>
      <c r="U25" s="406">
        <f>Y25*0.25</f>
        <v>39006.604921786748</v>
      </c>
      <c r="V25" s="406">
        <f>Y25*0.25</f>
        <v>39006.604921786748</v>
      </c>
      <c r="W25" s="406">
        <f>Y25*0.25</f>
        <v>39006.604921786748</v>
      </c>
      <c r="X25" s="410"/>
      <c r="Y25" s="413">
        <v>156026.41968714699</v>
      </c>
      <c r="Z25" s="441"/>
      <c r="AA25" s="448"/>
      <c r="AB25" s="433">
        <f>(K25+R25+Y25)</f>
        <v>267157.41660648002</v>
      </c>
      <c r="AC25" s="434"/>
      <c r="AE25" s="18">
        <f>K24*1.2</f>
        <v>7805.16</v>
      </c>
    </row>
    <row r="26" spans="1:31" s="18" customFormat="1" ht="51.75" customHeight="1" outlineLevel="1" x14ac:dyDescent="0.2">
      <c r="A26" s="414">
        <v>2</v>
      </c>
      <c r="B26" s="288" t="s">
        <v>69</v>
      </c>
      <c r="C26" s="131" t="s">
        <v>24</v>
      </c>
      <c r="D26" s="295">
        <f>K26/D30+R26/D31+Y26/D32</f>
        <v>66197.808174708203</v>
      </c>
      <c r="E26" s="153">
        <v>1</v>
      </c>
      <c r="F26" s="133">
        <f>K26*0.25</f>
        <v>349.14749999999998</v>
      </c>
      <c r="G26" s="162">
        <f>K26*0.25</f>
        <v>349.14749999999998</v>
      </c>
      <c r="H26" s="162">
        <f>K26*0.25</f>
        <v>349.14749999999998</v>
      </c>
      <c r="I26" s="162">
        <f>K26*0.25</f>
        <v>349.14749999999998</v>
      </c>
      <c r="J26" s="163"/>
      <c r="K26" s="137">
        <v>1396.59</v>
      </c>
      <c r="L26" s="136">
        <v>1</v>
      </c>
      <c r="M26" s="133">
        <f>R26*0.25</f>
        <v>7241.9708906249998</v>
      </c>
      <c r="N26" s="162">
        <f>R26*0.25</f>
        <v>7241.9708906249998</v>
      </c>
      <c r="O26" s="162">
        <f>R26*0.25</f>
        <v>7241.9708906249998</v>
      </c>
      <c r="P26" s="162">
        <f>R26*0.25</f>
        <v>7241.9708906249998</v>
      </c>
      <c r="Q26" s="311"/>
      <c r="R26" s="312">
        <v>28967.883562499999</v>
      </c>
      <c r="S26" s="138">
        <v>1</v>
      </c>
      <c r="T26" s="133">
        <f>Y26*0.25</f>
        <v>10661.745843750001</v>
      </c>
      <c r="U26" s="162">
        <f>Y26*0.25</f>
        <v>10661.745843750001</v>
      </c>
      <c r="V26" s="162">
        <f>Y26*0.25</f>
        <v>10661.745843750001</v>
      </c>
      <c r="W26" s="162">
        <f>Y26*0.25</f>
        <v>10661.745843750001</v>
      </c>
      <c r="X26" s="311"/>
      <c r="Y26" s="313">
        <v>42646.983375000003</v>
      </c>
      <c r="Z26" s="435"/>
      <c r="AA26" s="448"/>
      <c r="AB26" s="433">
        <f>(K26+R26+Y26)</f>
        <v>73011.456937499999</v>
      </c>
      <c r="AC26" s="434"/>
    </row>
    <row r="29" spans="1:31" s="43" customFormat="1" x14ac:dyDescent="0.2">
      <c r="A29" s="5" t="s">
        <v>55</v>
      </c>
      <c r="B29" s="5"/>
      <c r="C29" s="5"/>
      <c r="D29" s="5"/>
      <c r="F29" s="45"/>
      <c r="G29" s="45"/>
      <c r="H29" s="45"/>
      <c r="I29" s="45"/>
      <c r="J29" s="83"/>
      <c r="K29" s="78"/>
      <c r="M29" s="45"/>
      <c r="N29" s="45"/>
      <c r="O29" s="45"/>
      <c r="P29" s="45"/>
      <c r="Q29" s="83"/>
      <c r="R29" s="45"/>
      <c r="T29" s="45"/>
      <c r="U29" s="45"/>
      <c r="V29" s="45"/>
      <c r="W29" s="45"/>
      <c r="X29" s="83"/>
      <c r="Y29" s="45"/>
      <c r="Z29" s="5"/>
      <c r="AA29" s="38"/>
      <c r="AB29" s="38"/>
      <c r="AC29" s="38"/>
    </row>
    <row r="30" spans="1:31" s="43" customFormat="1" x14ac:dyDescent="0.2">
      <c r="A30" s="5" t="s">
        <v>33</v>
      </c>
      <c r="B30" s="5"/>
      <c r="C30" s="5"/>
      <c r="D30" s="426">
        <v>1.0386299999999999</v>
      </c>
      <c r="F30" s="427">
        <v>1.0386299999999999</v>
      </c>
      <c r="G30" s="38"/>
      <c r="H30" s="45"/>
      <c r="I30" s="45"/>
      <c r="J30" s="83"/>
      <c r="K30" s="45"/>
      <c r="M30" s="45"/>
      <c r="N30" s="45"/>
      <c r="O30" s="45"/>
      <c r="P30" s="45"/>
      <c r="Q30" s="83"/>
      <c r="R30" s="45"/>
      <c r="T30" s="45"/>
      <c r="U30" s="45"/>
      <c r="V30" s="45"/>
      <c r="W30" s="45"/>
      <c r="X30" s="83"/>
      <c r="Y30" s="45"/>
      <c r="Z30" s="426">
        <v>1.0386299999999999</v>
      </c>
      <c r="AA30" s="38"/>
      <c r="AB30" s="38"/>
      <c r="AC30" s="38"/>
    </row>
    <row r="31" spans="1:31" s="43" customFormat="1" x14ac:dyDescent="0.2">
      <c r="A31" s="5" t="s">
        <v>34</v>
      </c>
      <c r="B31" s="5"/>
      <c r="C31" s="5"/>
      <c r="D31" s="426">
        <f>ROUND(D30*F30,5)</f>
        <v>1.0787500000000001</v>
      </c>
      <c r="F31" s="427">
        <v>1.04036</v>
      </c>
      <c r="G31" s="45"/>
      <c r="H31" s="45"/>
      <c r="I31" s="45"/>
      <c r="J31" s="83"/>
      <c r="K31" s="45"/>
      <c r="M31" s="45"/>
      <c r="N31" s="45"/>
      <c r="O31" s="45"/>
      <c r="P31" s="45"/>
      <c r="Q31" s="83"/>
      <c r="R31" s="45"/>
      <c r="T31" s="45"/>
      <c r="U31" s="45"/>
      <c r="V31" s="45"/>
      <c r="W31" s="45"/>
      <c r="X31" s="83"/>
      <c r="Y31" s="45"/>
      <c r="Z31" s="426">
        <f>ROUND(Z30*AB30,5)</f>
        <v>0</v>
      </c>
      <c r="AA31" s="38"/>
      <c r="AB31" s="38"/>
      <c r="AC31" s="38"/>
    </row>
    <row r="32" spans="1:31" s="43" customFormat="1" x14ac:dyDescent="0.2">
      <c r="A32" s="5" t="s">
        <v>54</v>
      </c>
      <c r="B32" s="5"/>
      <c r="C32" s="5"/>
      <c r="D32" s="426">
        <f>ROUND(D31*F31,5)</f>
        <v>1.12229</v>
      </c>
      <c r="F32" s="427">
        <v>1.03989</v>
      </c>
      <c r="G32" s="45"/>
      <c r="H32" s="45"/>
      <c r="I32" s="45"/>
      <c r="J32" s="83"/>
      <c r="K32" s="45"/>
      <c r="M32" s="45"/>
      <c r="N32" s="45"/>
      <c r="O32" s="45"/>
      <c r="P32" s="45"/>
      <c r="Q32" s="83"/>
      <c r="R32" s="45"/>
      <c r="T32" s="45"/>
      <c r="U32" s="45"/>
      <c r="V32" s="45"/>
      <c r="W32" s="45"/>
      <c r="X32" s="83"/>
      <c r="Y32" s="45"/>
      <c r="Z32" s="426">
        <f>ROUND(Z31*AB31,5)</f>
        <v>0</v>
      </c>
      <c r="AA32" s="38"/>
      <c r="AB32" s="38"/>
      <c r="AC32" s="38"/>
    </row>
    <row r="33" spans="1:29" s="43" customFormat="1" x14ac:dyDescent="0.2">
      <c r="A33" s="23"/>
      <c r="B33" s="19"/>
      <c r="C33" s="5"/>
      <c r="D33" s="5"/>
      <c r="F33" s="45"/>
      <c r="G33" s="45"/>
      <c r="H33" s="45"/>
      <c r="I33" s="45"/>
      <c r="J33" s="83"/>
      <c r="K33" s="45"/>
      <c r="M33" s="45"/>
      <c r="N33" s="45"/>
      <c r="O33" s="45"/>
      <c r="P33" s="45"/>
      <c r="Q33" s="83"/>
      <c r="R33" s="45"/>
      <c r="T33" s="45"/>
      <c r="U33" s="45"/>
      <c r="V33" s="45"/>
      <c r="W33" s="45"/>
      <c r="X33" s="83"/>
      <c r="Y33" s="45"/>
      <c r="Z33" s="5"/>
      <c r="AA33" s="38"/>
      <c r="AB33" s="38"/>
      <c r="AC33" s="38"/>
    </row>
    <row r="34" spans="1:29" s="43" customFormat="1" x14ac:dyDescent="0.2">
      <c r="A34" s="23"/>
      <c r="B34" s="19"/>
      <c r="C34" s="5"/>
      <c r="D34" s="5"/>
      <c r="F34" s="45"/>
      <c r="G34" s="45"/>
      <c r="H34" s="45"/>
      <c r="I34" s="45"/>
      <c r="J34" s="255"/>
      <c r="K34" s="254"/>
      <c r="M34" s="45"/>
      <c r="N34" s="45"/>
      <c r="O34" s="45"/>
      <c r="P34" s="45"/>
      <c r="Q34" s="83"/>
      <c r="R34" s="45"/>
      <c r="T34" s="45"/>
      <c r="U34" s="45"/>
      <c r="V34" s="45"/>
      <c r="W34" s="45"/>
      <c r="X34" s="83"/>
      <c r="Y34" s="45"/>
      <c r="Z34" s="5"/>
      <c r="AA34" s="38"/>
      <c r="AB34" s="38"/>
      <c r="AC34" s="38"/>
    </row>
    <row r="35" spans="1:29" s="43" customFormat="1" x14ac:dyDescent="0.2">
      <c r="A35" s="23"/>
      <c r="B35" s="19"/>
      <c r="C35" s="5"/>
      <c r="D35" s="5"/>
      <c r="F35" s="45"/>
      <c r="G35" s="45"/>
      <c r="H35" s="45"/>
      <c r="I35" s="45"/>
      <c r="J35" s="83"/>
      <c r="K35" s="256"/>
      <c r="M35" s="45"/>
      <c r="N35" s="45"/>
      <c r="O35" s="45"/>
      <c r="P35" s="45"/>
      <c r="Q35" s="83"/>
      <c r="R35" s="45"/>
      <c r="T35" s="45"/>
      <c r="U35" s="45"/>
      <c r="V35" s="45"/>
      <c r="W35" s="45"/>
      <c r="X35" s="83"/>
      <c r="Y35" s="45"/>
      <c r="Z35" s="5"/>
      <c r="AA35" s="38"/>
      <c r="AB35" s="38"/>
      <c r="AC35" s="38"/>
    </row>
    <row r="38" spans="1:29" x14ac:dyDescent="0.2">
      <c r="K38" s="78"/>
    </row>
    <row r="43" spans="1:29" x14ac:dyDescent="0.2">
      <c r="F43" s="429"/>
    </row>
    <row r="44" spans="1:29" x14ac:dyDescent="0.2">
      <c r="K44" s="78"/>
    </row>
    <row r="45" spans="1:29" x14ac:dyDescent="0.2">
      <c r="F45" s="429"/>
    </row>
    <row r="47" spans="1:29" x14ac:dyDescent="0.2">
      <c r="F47" s="429"/>
    </row>
    <row r="49" spans="6:6" x14ac:dyDescent="0.2">
      <c r="F49" s="429"/>
    </row>
    <row r="51" spans="6:6" x14ac:dyDescent="0.2">
      <c r="F51" s="429"/>
    </row>
    <row r="53" spans="6:6" x14ac:dyDescent="0.2">
      <c r="F53" s="429"/>
    </row>
  </sheetData>
  <mergeCells count="15">
    <mergeCell ref="A22:C22"/>
    <mergeCell ref="A24:C24"/>
    <mergeCell ref="A6:C6"/>
    <mergeCell ref="A7:C7"/>
    <mergeCell ref="A14:C14"/>
    <mergeCell ref="A20:C20"/>
    <mergeCell ref="Z4:AA4"/>
    <mergeCell ref="AB4:AC4"/>
    <mergeCell ref="A2:Y2"/>
    <mergeCell ref="A4:B5"/>
    <mergeCell ref="C4:C5"/>
    <mergeCell ref="D4:D5"/>
    <mergeCell ref="E4:K4"/>
    <mergeCell ref="L4:R4"/>
    <mergeCell ref="S4:Y4"/>
  </mergeCells>
  <pageMargins left="0.39" right="0.39" top="0.78" bottom="0.47" header="0.72" footer="0.24"/>
  <pageSetup paperSize="9" scale="81" firstPageNumber="0" fitToHeight="0" orientation="landscape" r:id="rId1"/>
  <headerFooter alignWithMargins="0">
    <oddFooter>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F52"/>
  <sheetViews>
    <sheetView zoomScale="120" zoomScaleNormal="120" zoomScaleSheetLayoutView="100" zoomScalePageLayoutView="115" workbookViewId="0">
      <pane xSplit="4" ySplit="6" topLeftCell="E40" activePane="bottomRight" state="frozen"/>
      <selection activeCell="R14" sqref="R14"/>
      <selection pane="topRight" activeCell="R14" sqref="R14"/>
      <selection pane="bottomLeft" activeCell="R14" sqref="R14"/>
      <selection pane="bottomRight" activeCell="I51" sqref="I51"/>
    </sheetView>
  </sheetViews>
  <sheetFormatPr defaultColWidth="9.28515625" defaultRowHeight="12.75" outlineLevelRow="1" outlineLevelCol="1" x14ac:dyDescent="0.2"/>
  <cols>
    <col min="1" max="1" width="3.5703125" style="23" customWidth="1"/>
    <col min="2" max="2" width="22" style="5" customWidth="1"/>
    <col min="3" max="3" width="5.5703125" style="5" customWidth="1"/>
    <col min="4" max="4" width="12.7109375" style="5" bestFit="1" customWidth="1"/>
    <col min="5" max="5" width="4.28515625" style="43" customWidth="1"/>
    <col min="6" max="7" width="8" style="45" customWidth="1"/>
    <col min="8" max="8" width="8.5703125" style="45" customWidth="1"/>
    <col min="9" max="9" width="8" style="45" customWidth="1"/>
    <col min="10" max="10" width="8" style="83" hidden="1" customWidth="1" outlineLevel="1"/>
    <col min="11" max="11" width="12.140625" style="45" customWidth="1" collapsed="1"/>
    <col min="12" max="12" width="4.28515625" style="43" customWidth="1"/>
    <col min="13" max="16" width="7.7109375" style="45" customWidth="1"/>
    <col min="17" max="17" width="8.28515625" style="83" hidden="1" customWidth="1" outlineLevel="1"/>
    <col min="18" max="18" width="12.140625" style="45" customWidth="1" collapsed="1"/>
    <col min="19" max="19" width="4.28515625" style="43" customWidth="1"/>
    <col min="20" max="23" width="7.7109375" style="45" customWidth="1"/>
    <col min="24" max="24" width="8.28515625" style="83" hidden="1" customWidth="1" outlineLevel="1"/>
    <col min="25" max="25" width="11.85546875" style="45" customWidth="1" collapsed="1"/>
    <col min="26" max="26" width="13.85546875" style="38" customWidth="1"/>
    <col min="27" max="27" width="12.7109375" style="38" customWidth="1"/>
    <col min="28" max="28" width="15" style="38" customWidth="1"/>
    <col min="29" max="29" width="21.140625" style="5" customWidth="1"/>
    <col min="30" max="30" width="18.42578125" style="5" customWidth="1"/>
    <col min="31" max="31" width="16.28515625" style="5" customWidth="1"/>
    <col min="32" max="32" width="9.28515625" style="5" customWidth="1"/>
    <col min="33" max="16384" width="9.28515625" style="5"/>
  </cols>
  <sheetData>
    <row r="1" spans="1:32" s="1" customFormat="1" ht="111" hidden="1" customHeight="1" x14ac:dyDescent="0.3">
      <c r="A1" s="22"/>
      <c r="E1" s="41"/>
      <c r="F1" s="44"/>
      <c r="G1" s="44"/>
      <c r="H1" s="44"/>
      <c r="I1" s="44"/>
      <c r="J1" s="79"/>
      <c r="K1" s="44"/>
      <c r="L1" s="41"/>
      <c r="M1" s="44"/>
      <c r="N1" s="44"/>
      <c r="O1" s="44"/>
      <c r="P1" s="44"/>
      <c r="Q1" s="79"/>
      <c r="R1" s="44"/>
      <c r="S1" s="41"/>
      <c r="T1" s="44"/>
      <c r="U1" s="44"/>
      <c r="V1" s="44"/>
      <c r="W1" s="44"/>
      <c r="X1" s="79"/>
      <c r="Y1" s="44"/>
      <c r="Z1" s="218"/>
      <c r="AA1" s="218"/>
      <c r="AB1" s="218"/>
    </row>
    <row r="2" spans="1:32" s="2" customFormat="1" ht="26.25" customHeight="1" x14ac:dyDescent="0.2">
      <c r="A2" s="456" t="s">
        <v>51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  <c r="Q2" s="456"/>
      <c r="R2" s="456"/>
      <c r="S2" s="456"/>
      <c r="T2" s="456"/>
      <c r="U2" s="456"/>
      <c r="V2" s="456"/>
      <c r="W2" s="456"/>
      <c r="X2" s="456"/>
      <c r="Y2" s="456"/>
      <c r="Z2" s="219"/>
      <c r="AA2" s="219"/>
      <c r="AB2" s="219"/>
    </row>
    <row r="3" spans="1:32" s="4" customFormat="1" ht="15" customHeight="1" outlineLevel="1" x14ac:dyDescent="0.25">
      <c r="A3" s="3"/>
      <c r="B3" s="3"/>
      <c r="C3" s="3"/>
      <c r="D3" s="3"/>
      <c r="E3" s="46"/>
      <c r="F3" s="31"/>
      <c r="G3" s="31"/>
      <c r="H3" s="31"/>
      <c r="I3" s="258"/>
      <c r="J3" s="80"/>
      <c r="K3" s="31"/>
      <c r="L3" s="42"/>
      <c r="M3" s="32"/>
      <c r="N3" s="32"/>
      <c r="O3" s="32"/>
      <c r="P3" s="32"/>
      <c r="Q3" s="80"/>
      <c r="R3" s="32"/>
      <c r="S3" s="42"/>
      <c r="T3" s="32"/>
      <c r="U3" s="32"/>
      <c r="V3" s="32"/>
      <c r="W3" s="32"/>
      <c r="X3" s="80"/>
      <c r="Y3" s="31" t="s">
        <v>52</v>
      </c>
      <c r="Z3" s="220"/>
      <c r="AA3" s="220"/>
      <c r="AB3" s="220"/>
    </row>
    <row r="4" spans="1:32" ht="21.75" customHeight="1" x14ac:dyDescent="0.2">
      <c r="A4" s="488" t="s">
        <v>0</v>
      </c>
      <c r="B4" s="489"/>
      <c r="C4" s="492" t="s">
        <v>1</v>
      </c>
      <c r="D4" s="494" t="s">
        <v>56</v>
      </c>
      <c r="E4" s="496" t="s">
        <v>39</v>
      </c>
      <c r="F4" s="497"/>
      <c r="G4" s="497"/>
      <c r="H4" s="497"/>
      <c r="I4" s="497"/>
      <c r="J4" s="497"/>
      <c r="K4" s="498"/>
      <c r="L4" s="496" t="s">
        <v>38</v>
      </c>
      <c r="M4" s="497"/>
      <c r="N4" s="497"/>
      <c r="O4" s="497"/>
      <c r="P4" s="497"/>
      <c r="Q4" s="497"/>
      <c r="R4" s="499"/>
      <c r="S4" s="496" t="s">
        <v>53</v>
      </c>
      <c r="T4" s="497"/>
      <c r="U4" s="497"/>
      <c r="V4" s="497"/>
      <c r="W4" s="497"/>
      <c r="X4" s="497"/>
      <c r="Y4" s="499"/>
      <c r="Z4" s="232"/>
      <c r="AA4" s="233"/>
      <c r="AB4" s="221"/>
    </row>
    <row r="5" spans="1:32" ht="37.5" customHeight="1" x14ac:dyDescent="0.2">
      <c r="A5" s="490"/>
      <c r="B5" s="491"/>
      <c r="C5" s="493"/>
      <c r="D5" s="495"/>
      <c r="E5" s="155" t="s">
        <v>2</v>
      </c>
      <c r="F5" s="156" t="s">
        <v>3</v>
      </c>
      <c r="G5" s="156" t="s">
        <v>4</v>
      </c>
      <c r="H5" s="156" t="s">
        <v>5</v>
      </c>
      <c r="I5" s="157" t="s">
        <v>6</v>
      </c>
      <c r="J5" s="158" t="s">
        <v>7</v>
      </c>
      <c r="K5" s="86" t="s">
        <v>8</v>
      </c>
      <c r="L5" s="155" t="s">
        <v>2</v>
      </c>
      <c r="M5" s="156" t="s">
        <v>3</v>
      </c>
      <c r="N5" s="156" t="s">
        <v>4</v>
      </c>
      <c r="O5" s="156" t="s">
        <v>5</v>
      </c>
      <c r="P5" s="157" t="s">
        <v>6</v>
      </c>
      <c r="Q5" s="158" t="s">
        <v>7</v>
      </c>
      <c r="R5" s="99" t="s">
        <v>8</v>
      </c>
      <c r="S5" s="155" t="s">
        <v>2</v>
      </c>
      <c r="T5" s="156" t="s">
        <v>3</v>
      </c>
      <c r="U5" s="156" t="s">
        <v>4</v>
      </c>
      <c r="V5" s="156" t="s">
        <v>5</v>
      </c>
      <c r="W5" s="157" t="s">
        <v>6</v>
      </c>
      <c r="X5" s="158" t="s">
        <v>7</v>
      </c>
      <c r="Y5" s="86" t="s">
        <v>8</v>
      </c>
      <c r="Z5" s="234" t="s">
        <v>44</v>
      </c>
      <c r="AA5" s="235" t="s">
        <v>45</v>
      </c>
      <c r="AB5" s="235" t="s">
        <v>50</v>
      </c>
      <c r="AC5" s="5" t="s">
        <v>40</v>
      </c>
      <c r="AD5" s="5" t="s">
        <v>41</v>
      </c>
      <c r="AE5" s="5" t="s">
        <v>42</v>
      </c>
      <c r="AF5" s="5" t="s">
        <v>41</v>
      </c>
    </row>
    <row r="6" spans="1:32" ht="20.25" customHeight="1" collapsed="1" x14ac:dyDescent="0.3">
      <c r="A6" s="481" t="s">
        <v>37</v>
      </c>
      <c r="B6" s="481"/>
      <c r="C6" s="481"/>
      <c r="D6" s="214">
        <f>D7+D14+D22+D28+D32+D36+D40</f>
        <v>415740.07016252843</v>
      </c>
      <c r="E6" s="64"/>
      <c r="F6" s="53">
        <f>IF(SUBTOTAL(9,F7:F44)=0,"",SUBTOTAL(9,F7:F44))</f>
        <v>34097.47752</v>
      </c>
      <c r="G6" s="54">
        <f>IF(SUBTOTAL(9,G7:G44)=0,"",SUBTOTAL(9,G7:G44))</f>
        <v>25424.323333333334</v>
      </c>
      <c r="H6" s="55">
        <f>IF(SUBTOTAL(9,H7:H44)=0,"",SUBTOTAL(9,H7:H44))</f>
        <v>37361.716480666662</v>
      </c>
      <c r="I6" s="54">
        <f>IF(SUBTOTAL(9,I7:I44)=0,"",SUBTOTAL(9,I7:I44))</f>
        <v>32109.53</v>
      </c>
      <c r="J6" s="56">
        <f>SUM(F6:I6)-K6</f>
        <v>0</v>
      </c>
      <c r="K6" s="203">
        <f>SUBTOTAL(9,K7:K44)</f>
        <v>128993.04733399999</v>
      </c>
      <c r="L6" s="68"/>
      <c r="M6" s="100">
        <f>IF(SUBTOTAL(9,M7:M44)=0,"",SUBTOTAL(9,M7:M44))</f>
        <v>21726.75033333333</v>
      </c>
      <c r="N6" s="101">
        <f>IF(SUBTOTAL(9,N7:N44)=0,"",SUBTOTAL(9,N7:N44))</f>
        <v>23256.900669333329</v>
      </c>
      <c r="O6" s="55">
        <f>IF(SUBTOTAL(9,O7:O44)=0,"",SUBTOTAL(9,O7:O44))</f>
        <v>35863.511912533329</v>
      </c>
      <c r="P6" s="101">
        <f>IF(SUBTOTAL(9,P7:P44)=0,"",SUBTOTAL(9,P7:P44))</f>
        <v>37544.089680320001</v>
      </c>
      <c r="Q6" s="56">
        <f>SUM(M6:P6)-R6</f>
        <v>0</v>
      </c>
      <c r="R6" s="204">
        <f>SUBTOTAL(9,R7:R44)</f>
        <v>118391.25259552</v>
      </c>
      <c r="S6" s="92"/>
      <c r="T6" s="53">
        <f>IF(SUBTOTAL(9,T7:T44)=0,"",SUBTOTAL(9,T7:T44))</f>
        <v>47322.302499999998</v>
      </c>
      <c r="U6" s="54">
        <f>IF(SUBTOTAL(9,U7:U44)=0,"",SUBTOTAL(9,U7:U44))</f>
        <v>52609.506626865579</v>
      </c>
      <c r="V6" s="55">
        <f>IF(SUBTOTAL(9,V7:V44)=0,"",SUBTOTAL(9,V7:V44))</f>
        <v>61809.807277771848</v>
      </c>
      <c r="W6" s="54">
        <f>IF(SUBTOTAL(9,W7:W44)=0,"",SUBTOTAL(9,W7:W44))</f>
        <v>52229.637223532794</v>
      </c>
      <c r="X6" s="56">
        <f>SUM(T6:W6)-Y6</f>
        <v>0</v>
      </c>
      <c r="Y6" s="223">
        <f>SUBTOTAL(9,Y7:Y44)</f>
        <v>213971.25362817023</v>
      </c>
      <c r="Z6" s="214">
        <f>Z7+Z14+Z22+Z28+Z32+Z36+Z40</f>
        <v>498888.08419503405</v>
      </c>
      <c r="AA6" s="214">
        <f>AA7+AA14+AA22+AA28+AA32+AA36+AA40</f>
        <v>456891.87355769018</v>
      </c>
      <c r="AB6" s="222">
        <f>AA6*1.2</f>
        <v>548270.24826922815</v>
      </c>
      <c r="AC6" s="24">
        <f>K6+R6+Y6</f>
        <v>461355.55355769023</v>
      </c>
      <c r="AD6" s="5">
        <f>AC6*1.2</f>
        <v>553626.66426922823</v>
      </c>
      <c r="AE6" s="5">
        <f>K6/1.03+R6/1.04/1.03+Y6/1.04/1.04/1.03</f>
        <v>427824.50695478596</v>
      </c>
      <c r="AF6" s="5">
        <f>AE6*1.2</f>
        <v>513389.40834574314</v>
      </c>
    </row>
    <row r="7" spans="1:32" s="6" customFormat="1" ht="34.5" customHeight="1" x14ac:dyDescent="0.3">
      <c r="A7" s="482" t="s">
        <v>46</v>
      </c>
      <c r="B7" s="483"/>
      <c r="C7" s="483"/>
      <c r="D7" s="205">
        <f>K7/D47+R7/D48+Y7/D49</f>
        <v>14363.382924999976</v>
      </c>
      <c r="E7" s="213"/>
      <c r="F7" s="70" t="str">
        <f>IF(SUBTOTAL(9,F8:F13)=0,"",SUBTOTAL(9,F8:F13))</f>
        <v/>
      </c>
      <c r="G7" s="70">
        <f>IF(SUBTOTAL(9,G8:G13)=0,"",SUBTOTAL(9,G8:G13))</f>
        <v>1170.1733333333336</v>
      </c>
      <c r="H7" s="70">
        <f>IF(SUBTOTAL(9,H8:H13)=0,"",SUBTOTAL(9,H8:H13))</f>
        <v>3893.878880666658</v>
      </c>
      <c r="I7" s="70" t="str">
        <f t="shared" ref="I7:X7" si="0">IF(SUBTOTAL(9,I8:I13)=0,"",SUBTOTAL(9,I8:I13))</f>
        <v/>
      </c>
      <c r="J7" s="81" t="str">
        <f t="shared" si="0"/>
        <v/>
      </c>
      <c r="K7" s="259">
        <f t="shared" si="0"/>
        <v>5064.0522139999921</v>
      </c>
      <c r="L7" s="102"/>
      <c r="M7" s="103">
        <f t="shared" si="0"/>
        <v>341.60533333333336</v>
      </c>
      <c r="N7" s="103">
        <f t="shared" si="0"/>
        <v>1871.7556693333336</v>
      </c>
      <c r="O7" s="103">
        <f t="shared" si="0"/>
        <v>2137.9492998933247</v>
      </c>
      <c r="P7" s="103">
        <f t="shared" si="0"/>
        <v>915.30400000000009</v>
      </c>
      <c r="Q7" s="104" t="str">
        <f t="shared" si="0"/>
        <v/>
      </c>
      <c r="R7" s="105">
        <f t="shared" si="0"/>
        <v>5266.6143025599913</v>
      </c>
      <c r="S7" s="93"/>
      <c r="T7" s="71" t="str">
        <f t="shared" si="0"/>
        <v/>
      </c>
      <c r="U7" s="71">
        <f t="shared" si="0"/>
        <v>2420.2386346666672</v>
      </c>
      <c r="V7" s="71">
        <f t="shared" si="0"/>
        <v>2782.0559865557243</v>
      </c>
      <c r="W7" s="71" t="str">
        <f t="shared" si="0"/>
        <v/>
      </c>
      <c r="X7" s="81" t="str">
        <f t="shared" si="0"/>
        <v/>
      </c>
      <c r="Y7" s="224">
        <f>IF(SUBTOTAL(9,Y8:Y13)=0,"",SUBTOTAL(9,Y8:Y13))</f>
        <v>5202.2946212223906</v>
      </c>
      <c r="Z7" s="242">
        <f>D7*1.2</f>
        <v>17236.05950999997</v>
      </c>
      <c r="AA7" s="242">
        <f>(K7+R7+Y7)</f>
        <v>15532.961137782375</v>
      </c>
      <c r="AB7" s="222">
        <f t="shared" ref="AB7:AB44" si="1">AA7*1.2</f>
        <v>18639.553365338848</v>
      </c>
      <c r="AC7" s="24">
        <f>K7+R7+Y7</f>
        <v>15532.961137782375</v>
      </c>
      <c r="AD7" s="5">
        <f>AC7*1.2</f>
        <v>18639.553365338848</v>
      </c>
      <c r="AE7" s="5">
        <f>K7/1.03+R7/1.04/1.03+Y7/1.04/1.04/1.03</f>
        <v>14502.833244660167</v>
      </c>
      <c r="AF7" s="5">
        <f>AE7*1.2</f>
        <v>17403.399893592199</v>
      </c>
    </row>
    <row r="8" spans="1:32" ht="15" customHeight="1" outlineLevel="1" x14ac:dyDescent="0.3">
      <c r="A8" s="187">
        <v>1</v>
      </c>
      <c r="B8" s="215" t="s">
        <v>9</v>
      </c>
      <c r="C8" s="216" t="s">
        <v>10</v>
      </c>
      <c r="D8" s="273">
        <f>42.3/1.2</f>
        <v>35.25</v>
      </c>
      <c r="E8" s="106">
        <v>35</v>
      </c>
      <c r="F8" s="35"/>
      <c r="G8" s="35">
        <f>D47*D8*(E8-11)</f>
        <v>879.84000000000015</v>
      </c>
      <c r="H8" s="35">
        <f>D47*D8*11</f>
        <v>403.26000000000005</v>
      </c>
      <c r="I8" s="74"/>
      <c r="J8" s="85">
        <f t="shared" ref="J8:J13" si="2">D8*$D$47*E8-K8</f>
        <v>0</v>
      </c>
      <c r="K8" s="87">
        <f t="shared" ref="K8:K13" si="3">SUM(F8:I8)</f>
        <v>1283.1000000000001</v>
      </c>
      <c r="L8" s="106">
        <v>35</v>
      </c>
      <c r="M8" s="35">
        <f>$D$48*D8*5</f>
        <v>190.63200000000001</v>
      </c>
      <c r="N8" s="35">
        <f>D48*D8*10</f>
        <v>381.26400000000001</v>
      </c>
      <c r="O8" s="35">
        <f>D48*D8*10</f>
        <v>381.26400000000001</v>
      </c>
      <c r="P8" s="74">
        <f>D48*D8*10</f>
        <v>381.26400000000001</v>
      </c>
      <c r="Q8" s="85">
        <f t="shared" ref="Q8:Q13" si="4">D8*$D$48*L8-R8</f>
        <v>0</v>
      </c>
      <c r="R8" s="107">
        <f t="shared" ref="R8:R13" si="5">SUM(M8:P8)</f>
        <v>1334.424</v>
      </c>
      <c r="S8" s="94">
        <v>36</v>
      </c>
      <c r="T8" s="35"/>
      <c r="U8" s="36">
        <f>S8*D8/2*$D$49</f>
        <v>713.72620800000004</v>
      </c>
      <c r="V8" s="35">
        <f>S8*D8/2*$D$49</f>
        <v>713.72620800000004</v>
      </c>
      <c r="W8" s="140"/>
      <c r="X8" s="85">
        <f t="shared" ref="X8:X13" si="6">D8*$D$49*S8-Y8</f>
        <v>0</v>
      </c>
      <c r="Y8" s="87">
        <f t="shared" ref="Y8:Y13" si="7">SUM(T8:W8)</f>
        <v>1427.4524160000001</v>
      </c>
      <c r="Z8" s="236"/>
      <c r="AA8" s="237"/>
      <c r="AB8" s="222">
        <f t="shared" si="1"/>
        <v>0</v>
      </c>
    </row>
    <row r="9" spans="1:32" s="10" customFormat="1" ht="15" customHeight="1" outlineLevel="1" x14ac:dyDescent="0.3">
      <c r="A9" s="7">
        <v>2</v>
      </c>
      <c r="B9" s="20" t="s">
        <v>11</v>
      </c>
      <c r="C9" s="21" t="s">
        <v>10</v>
      </c>
      <c r="D9" s="29">
        <f>33.5/1.2</f>
        <v>27.916666666666668</v>
      </c>
      <c r="E9" s="108">
        <v>20</v>
      </c>
      <c r="F9" s="36"/>
      <c r="G9" s="36">
        <f>D47*D9*10</f>
        <v>290.33333333333337</v>
      </c>
      <c r="H9" s="36">
        <f>D47*D9*10</f>
        <v>290.33333333333337</v>
      </c>
      <c r="I9" s="29"/>
      <c r="J9" s="75">
        <f t="shared" si="2"/>
        <v>0</v>
      </c>
      <c r="K9" s="88">
        <f t="shared" si="3"/>
        <v>580.66666666666674</v>
      </c>
      <c r="L9" s="108">
        <v>20</v>
      </c>
      <c r="M9" s="36">
        <f>D48*D9*5</f>
        <v>150.97333333333336</v>
      </c>
      <c r="N9" s="36">
        <f>D48*D9*5</f>
        <v>150.97333333333336</v>
      </c>
      <c r="O9" s="36">
        <f>D48*D9*5</f>
        <v>150.97333333333336</v>
      </c>
      <c r="P9" s="29">
        <f>D48*D9*5</f>
        <v>150.97333333333336</v>
      </c>
      <c r="Q9" s="75">
        <f t="shared" si="4"/>
        <v>0</v>
      </c>
      <c r="R9" s="109">
        <f t="shared" si="5"/>
        <v>603.89333333333343</v>
      </c>
      <c r="S9" s="95">
        <v>20</v>
      </c>
      <c r="T9" s="36"/>
      <c r="U9" s="36">
        <f>S9*D9*$D$49</f>
        <v>628.0490666666667</v>
      </c>
      <c r="V9" s="36"/>
      <c r="W9" s="29"/>
      <c r="X9" s="75">
        <f t="shared" si="6"/>
        <v>0</v>
      </c>
      <c r="Y9" s="225">
        <f t="shared" si="7"/>
        <v>628.0490666666667</v>
      </c>
      <c r="Z9" s="236"/>
      <c r="AA9" s="237"/>
      <c r="AB9" s="222">
        <f t="shared" si="1"/>
        <v>0</v>
      </c>
    </row>
    <row r="10" spans="1:32" s="10" customFormat="1" ht="15" customHeight="1" outlineLevel="1" x14ac:dyDescent="0.3">
      <c r="A10" s="7">
        <v>3</v>
      </c>
      <c r="B10" s="20" t="s">
        <v>21</v>
      </c>
      <c r="C10" s="21" t="s">
        <v>10</v>
      </c>
      <c r="D10" s="29">
        <f>8.5/1.2</f>
        <v>7.0833333333333339</v>
      </c>
      <c r="E10" s="108">
        <v>50</v>
      </c>
      <c r="F10" s="36"/>
      <c r="G10" s="36"/>
      <c r="H10" s="36">
        <f>D47*E10*D10</f>
        <v>368.33333333333337</v>
      </c>
      <c r="I10" s="29"/>
      <c r="J10" s="75">
        <f t="shared" si="2"/>
        <v>0</v>
      </c>
      <c r="K10" s="88">
        <f t="shared" si="3"/>
        <v>368.33333333333337</v>
      </c>
      <c r="L10" s="108">
        <v>50</v>
      </c>
      <c r="M10" s="36"/>
      <c r="N10" s="36"/>
      <c r="O10" s="36"/>
      <c r="P10" s="29">
        <f>D48*D10*L10</f>
        <v>383.06666666666678</v>
      </c>
      <c r="Q10" s="75">
        <f t="shared" si="4"/>
        <v>0</v>
      </c>
      <c r="R10" s="109">
        <f t="shared" si="5"/>
        <v>383.06666666666678</v>
      </c>
      <c r="S10" s="95">
        <v>50</v>
      </c>
      <c r="T10" s="36"/>
      <c r="U10" s="36"/>
      <c r="V10" s="29">
        <f>D49*D10*S10</f>
        <v>398.38933333333341</v>
      </c>
      <c r="W10" s="29"/>
      <c r="X10" s="75">
        <f t="shared" si="6"/>
        <v>0</v>
      </c>
      <c r="Y10" s="225">
        <f t="shared" si="7"/>
        <v>398.38933333333341</v>
      </c>
      <c r="Z10" s="236"/>
      <c r="AA10" s="237"/>
      <c r="AB10" s="222">
        <f t="shared" si="1"/>
        <v>0</v>
      </c>
    </row>
    <row r="11" spans="1:32" s="10" customFormat="1" ht="16.5" customHeight="1" outlineLevel="1" x14ac:dyDescent="0.3">
      <c r="A11" s="7">
        <v>4</v>
      </c>
      <c r="B11" s="315" t="s">
        <v>22</v>
      </c>
      <c r="C11" s="21" t="s">
        <v>10</v>
      </c>
      <c r="D11" s="316">
        <f>1150.5/1.2</f>
        <v>958.75</v>
      </c>
      <c r="E11" s="108"/>
      <c r="F11" s="36"/>
      <c r="G11" s="36"/>
      <c r="H11" s="36"/>
      <c r="I11" s="29"/>
      <c r="J11" s="75">
        <f t="shared" si="2"/>
        <v>0</v>
      </c>
      <c r="K11" s="88">
        <f t="shared" si="3"/>
        <v>0</v>
      </c>
      <c r="L11" s="108"/>
      <c r="M11" s="36"/>
      <c r="N11" s="36"/>
      <c r="O11" s="36"/>
      <c r="P11" s="29"/>
      <c r="Q11" s="75">
        <f t="shared" si="4"/>
        <v>0</v>
      </c>
      <c r="R11" s="109"/>
      <c r="S11" s="95">
        <v>1</v>
      </c>
      <c r="T11" s="36"/>
      <c r="U11" s="36">
        <f>S11*D11*$D$49</f>
        <v>1078.4633600000002</v>
      </c>
      <c r="V11" s="36"/>
      <c r="W11" s="29"/>
      <c r="X11" s="75">
        <f t="shared" si="6"/>
        <v>0</v>
      </c>
      <c r="Y11" s="225">
        <f t="shared" si="7"/>
        <v>1078.4633600000002</v>
      </c>
      <c r="Z11" s="236"/>
      <c r="AA11" s="237"/>
      <c r="AB11" s="222">
        <f t="shared" si="1"/>
        <v>0</v>
      </c>
    </row>
    <row r="12" spans="1:32" s="10" customFormat="1" ht="16.5" customHeight="1" outlineLevel="1" x14ac:dyDescent="0.3">
      <c r="A12" s="57">
        <v>5</v>
      </c>
      <c r="B12" s="61" t="s">
        <v>20</v>
      </c>
      <c r="C12" s="62" t="s">
        <v>10</v>
      </c>
      <c r="D12" s="29">
        <f>1781.48516999999/1.2</f>
        <v>1484.5709749999917</v>
      </c>
      <c r="E12" s="110">
        <v>1</v>
      </c>
      <c r="F12" s="63"/>
      <c r="G12" s="63"/>
      <c r="H12" s="63">
        <f>$D$47*$D12*E12</f>
        <v>1543.9538139999913</v>
      </c>
      <c r="I12" s="72"/>
      <c r="J12" s="76">
        <f t="shared" si="2"/>
        <v>0</v>
      </c>
      <c r="K12" s="89">
        <f t="shared" si="3"/>
        <v>1543.9538139999913</v>
      </c>
      <c r="L12" s="110">
        <v>1</v>
      </c>
      <c r="M12" s="63"/>
      <c r="N12" s="63"/>
      <c r="O12" s="63">
        <f>D12*L12*D48</f>
        <v>1605.7119665599912</v>
      </c>
      <c r="P12" s="72"/>
      <c r="Q12" s="76">
        <f t="shared" si="4"/>
        <v>0</v>
      </c>
      <c r="R12" s="60">
        <f t="shared" si="5"/>
        <v>1605.7119665599912</v>
      </c>
      <c r="S12" s="69">
        <v>1</v>
      </c>
      <c r="T12" s="63"/>
      <c r="U12" s="63"/>
      <c r="V12" s="63">
        <f>D12*S12*D49</f>
        <v>1669.9404452223907</v>
      </c>
      <c r="W12" s="72"/>
      <c r="X12" s="76">
        <f t="shared" si="6"/>
        <v>0</v>
      </c>
      <c r="Y12" s="225">
        <f t="shared" si="7"/>
        <v>1669.9404452223907</v>
      </c>
      <c r="Z12" s="236"/>
      <c r="AA12" s="237"/>
      <c r="AB12" s="222">
        <f t="shared" si="1"/>
        <v>0</v>
      </c>
    </row>
    <row r="13" spans="1:32" s="10" customFormat="1" ht="27.75" customHeight="1" outlineLevel="1" x14ac:dyDescent="0.3">
      <c r="A13" s="166">
        <v>6</v>
      </c>
      <c r="B13" s="318" t="s">
        <v>32</v>
      </c>
      <c r="C13" s="167" t="s">
        <v>10</v>
      </c>
      <c r="D13" s="317">
        <f>1486.152/1.2</f>
        <v>1238.46</v>
      </c>
      <c r="E13" s="173">
        <v>1</v>
      </c>
      <c r="F13" s="169"/>
      <c r="G13" s="169"/>
      <c r="H13" s="169">
        <f>E13*D13*$D$47</f>
        <v>1287.9984000000002</v>
      </c>
      <c r="I13" s="170"/>
      <c r="J13" s="171">
        <f t="shared" si="2"/>
        <v>0</v>
      </c>
      <c r="K13" s="172">
        <f t="shared" si="3"/>
        <v>1287.9984000000002</v>
      </c>
      <c r="L13" s="173">
        <v>1</v>
      </c>
      <c r="M13" s="169"/>
      <c r="N13" s="169">
        <f>D48*D13*L13</f>
        <v>1339.5183360000001</v>
      </c>
      <c r="O13" s="169"/>
      <c r="P13" s="168"/>
      <c r="Q13" s="171">
        <f t="shared" si="4"/>
        <v>0</v>
      </c>
      <c r="R13" s="174">
        <f t="shared" si="5"/>
        <v>1339.5183360000001</v>
      </c>
      <c r="S13" s="175"/>
      <c r="T13" s="169"/>
      <c r="U13" s="169"/>
      <c r="V13" s="169"/>
      <c r="W13" s="168"/>
      <c r="X13" s="171">
        <f t="shared" si="6"/>
        <v>0</v>
      </c>
      <c r="Y13" s="172">
        <f t="shared" si="7"/>
        <v>0</v>
      </c>
      <c r="Z13" s="236"/>
      <c r="AA13" s="237"/>
      <c r="AB13" s="222">
        <f t="shared" si="1"/>
        <v>0</v>
      </c>
    </row>
    <row r="14" spans="1:32" s="11" customFormat="1" ht="39" customHeight="1" x14ac:dyDescent="0.3">
      <c r="A14" s="484" t="s">
        <v>47</v>
      </c>
      <c r="B14" s="485"/>
      <c r="C14" s="485"/>
      <c r="D14" s="205">
        <f>K14/D47+R14/D48+Y14/D49</f>
        <v>20319.833333333336</v>
      </c>
      <c r="E14" s="176"/>
      <c r="F14" s="177" t="str">
        <f t="shared" ref="F14:K14" si="8">IF(SUBTOTAL(9,F15:F21)=0,"",SUBTOTAL(9,F15:F21))</f>
        <v/>
      </c>
      <c r="G14" s="177" t="str">
        <f t="shared" si="8"/>
        <v/>
      </c>
      <c r="H14" s="202">
        <f t="shared" si="8"/>
        <v>6409.3466666666682</v>
      </c>
      <c r="I14" s="202">
        <f t="shared" si="8"/>
        <v>4290</v>
      </c>
      <c r="J14" s="178" t="str">
        <f t="shared" si="8"/>
        <v/>
      </c>
      <c r="K14" s="264">
        <f t="shared" si="8"/>
        <v>10699.346666666668</v>
      </c>
      <c r="L14" s="180"/>
      <c r="M14" s="179" t="str">
        <f>IF(SUBTOTAL(9,M15:M21)=0,"",SUBTOTAL(9,M15:M21))</f>
        <v/>
      </c>
      <c r="N14" s="179" t="str">
        <f>IF(SUBTOTAL(9,N15:N21)=0,"",SUBTOTAL(9,N15:N21))</f>
        <v/>
      </c>
      <c r="O14" s="179">
        <f>IF(SUBTOTAL(9,O15:O21)=0,"",SUBTOTAL(9,O15:O21))</f>
        <v>6623.8085333333347</v>
      </c>
      <c r="P14" s="179" t="str">
        <f>IF(SUBTOTAL(9,P15:P21)=0,"",SUBTOTAL(9,P15:P21))</f>
        <v/>
      </c>
      <c r="Q14" s="178"/>
      <c r="R14" s="181">
        <f>IF(SUBTOTAL(9,R15:R21)=0,"",SUBTOTAL(9,R15:R21))</f>
        <v>6623.8085333333347</v>
      </c>
      <c r="S14" s="182"/>
      <c r="T14" s="179" t="str">
        <f t="shared" ref="T14:Y14" si="9">IF(SUBTOTAL(9,T15:T21)=0,"",SUBTOTAL(9,T15:T21))</f>
        <v/>
      </c>
      <c r="U14" s="179" t="str">
        <f t="shared" si="9"/>
        <v/>
      </c>
      <c r="V14" s="179">
        <f t="shared" si="9"/>
        <v>4395.8747733333339</v>
      </c>
      <c r="W14" s="179" t="str">
        <f t="shared" si="9"/>
        <v/>
      </c>
      <c r="X14" s="178" t="str">
        <f t="shared" si="9"/>
        <v/>
      </c>
      <c r="Y14" s="226">
        <f t="shared" si="9"/>
        <v>4395.8747733333339</v>
      </c>
      <c r="Z14" s="242">
        <f>D14*1.2</f>
        <v>24383.800000000003</v>
      </c>
      <c r="AA14" s="242">
        <f>(K14+R14+Y14)</f>
        <v>21719.029973333334</v>
      </c>
      <c r="AB14" s="222">
        <f t="shared" si="1"/>
        <v>26062.835967999999</v>
      </c>
      <c r="AC14" s="24">
        <f>K14+R14+Y14</f>
        <v>21719.029973333334</v>
      </c>
      <c r="AD14" s="5">
        <f>AC14*1.2</f>
        <v>26062.835967999999</v>
      </c>
      <c r="AE14" s="5">
        <f>K14/1.03+R14/1.04/1.03+Y14/1.04/1.04/1.03</f>
        <v>20517.113268608413</v>
      </c>
      <c r="AF14" s="5">
        <f>AE14*1.2</f>
        <v>24620.535922330095</v>
      </c>
    </row>
    <row r="15" spans="1:32" s="10" customFormat="1" ht="15" customHeight="1" outlineLevel="1" x14ac:dyDescent="0.3">
      <c r="A15" s="187">
        <v>1</v>
      </c>
      <c r="B15" s="188" t="s">
        <v>19</v>
      </c>
      <c r="C15" s="189" t="s">
        <v>10</v>
      </c>
      <c r="D15" s="269">
        <f>714.9/1.2</f>
        <v>595.75</v>
      </c>
      <c r="E15" s="111">
        <v>2</v>
      </c>
      <c r="F15" s="34"/>
      <c r="G15" s="34"/>
      <c r="H15" s="34">
        <f>$D$47*D15*E15</f>
        <v>1239.1600000000001</v>
      </c>
      <c r="I15" s="39"/>
      <c r="J15" s="141">
        <f t="shared" ref="J15:J21" si="10">D15*$D$47*E15-K15</f>
        <v>0</v>
      </c>
      <c r="K15" s="88">
        <f t="shared" ref="K15:K21" si="11">SUM(F15:I15)</f>
        <v>1239.1600000000001</v>
      </c>
      <c r="L15" s="261">
        <v>3</v>
      </c>
      <c r="M15" s="59"/>
      <c r="N15" s="59"/>
      <c r="O15" s="59">
        <f>$D$48*$D15*$L15</f>
        <v>1933.0896000000002</v>
      </c>
      <c r="P15" s="39"/>
      <c r="Q15" s="112">
        <f t="shared" ref="Q15:Q21" si="12">D15*$D$48*L15-R15</f>
        <v>0</v>
      </c>
      <c r="R15" s="109">
        <f t="shared" ref="R15:R21" si="13">SUM(M15:P15)</f>
        <v>1933.0896000000002</v>
      </c>
      <c r="S15" s="270">
        <v>5</v>
      </c>
      <c r="T15" s="36"/>
      <c r="U15" s="34"/>
      <c r="V15" s="34">
        <f>$D$49*S15*D15</f>
        <v>3350.6886400000003</v>
      </c>
      <c r="W15" s="39"/>
      <c r="X15" s="141">
        <f t="shared" ref="X15:X21" si="14">D15*$D$49*S15-Y15</f>
        <v>0</v>
      </c>
      <c r="Y15" s="172">
        <f t="shared" ref="Y15:Y21" si="15">SUM(T15:W15)</f>
        <v>3350.6886400000003</v>
      </c>
      <c r="Z15" s="236"/>
      <c r="AA15" s="237"/>
      <c r="AB15" s="222">
        <f t="shared" si="1"/>
        <v>0</v>
      </c>
    </row>
    <row r="16" spans="1:32" s="10" customFormat="1" ht="15" customHeight="1" outlineLevel="1" x14ac:dyDescent="0.3">
      <c r="A16" s="7">
        <v>2</v>
      </c>
      <c r="B16" s="8" t="s">
        <v>60</v>
      </c>
      <c r="C16" s="9" t="s">
        <v>10</v>
      </c>
      <c r="D16" s="39">
        <f>604.5/1.2</f>
        <v>503.75</v>
      </c>
      <c r="E16" s="113"/>
      <c r="F16" s="34"/>
      <c r="G16" s="34"/>
      <c r="H16" s="34"/>
      <c r="I16" s="39"/>
      <c r="J16" s="84">
        <f t="shared" si="10"/>
        <v>0</v>
      </c>
      <c r="K16" s="88">
        <f t="shared" si="11"/>
        <v>0</v>
      </c>
      <c r="L16" s="262">
        <v>1</v>
      </c>
      <c r="M16" s="59"/>
      <c r="N16" s="59"/>
      <c r="O16" s="59">
        <f>$D$48*$D16*$L16</f>
        <v>544.85600000000011</v>
      </c>
      <c r="P16" s="39"/>
      <c r="Q16" s="84">
        <f t="shared" si="12"/>
        <v>0</v>
      </c>
      <c r="R16" s="109">
        <f t="shared" si="13"/>
        <v>544.85600000000011</v>
      </c>
      <c r="S16" s="271"/>
      <c r="T16" s="36"/>
      <c r="U16" s="34"/>
      <c r="V16" s="34"/>
      <c r="W16" s="39"/>
      <c r="X16" s="84">
        <f t="shared" si="14"/>
        <v>0</v>
      </c>
      <c r="Y16" s="172">
        <f t="shared" si="15"/>
        <v>0</v>
      </c>
      <c r="Z16" s="236"/>
      <c r="AA16" s="237"/>
      <c r="AB16" s="222">
        <f t="shared" si="1"/>
        <v>0</v>
      </c>
    </row>
    <row r="17" spans="1:32" s="10" customFormat="1" ht="15" customHeight="1" outlineLevel="1" x14ac:dyDescent="0.3">
      <c r="A17" s="7">
        <v>3</v>
      </c>
      <c r="B17" s="12" t="s">
        <v>62</v>
      </c>
      <c r="C17" s="13" t="s">
        <v>10</v>
      </c>
      <c r="D17" s="40">
        <f>2477.9/1.2</f>
        <v>2064.916666666667</v>
      </c>
      <c r="E17" s="114"/>
      <c r="F17" s="34"/>
      <c r="G17" s="34"/>
      <c r="H17" s="34">
        <f>$D$47*D17*E17</f>
        <v>0</v>
      </c>
      <c r="I17" s="40"/>
      <c r="J17" s="84">
        <f t="shared" si="10"/>
        <v>0</v>
      </c>
      <c r="K17" s="89">
        <f t="shared" si="11"/>
        <v>0</v>
      </c>
      <c r="L17" s="262">
        <v>1</v>
      </c>
      <c r="M17" s="59"/>
      <c r="N17" s="59"/>
      <c r="O17" s="59">
        <f>$D$48*$D17*$L17</f>
        <v>2233.4138666666672</v>
      </c>
      <c r="P17" s="40"/>
      <c r="Q17" s="84">
        <f t="shared" si="12"/>
        <v>0</v>
      </c>
      <c r="R17" s="109">
        <f t="shared" si="13"/>
        <v>2233.4138666666672</v>
      </c>
      <c r="S17" s="271"/>
      <c r="T17" s="36"/>
      <c r="U17" s="34"/>
      <c r="V17" s="34"/>
      <c r="W17" s="40"/>
      <c r="X17" s="84">
        <f t="shared" si="14"/>
        <v>0</v>
      </c>
      <c r="Y17" s="172">
        <f t="shared" si="15"/>
        <v>0</v>
      </c>
      <c r="Z17" s="236"/>
      <c r="AA17" s="237"/>
      <c r="AB17" s="222">
        <f t="shared" si="1"/>
        <v>0</v>
      </c>
    </row>
    <row r="18" spans="1:32" s="10" customFormat="1" ht="15" customHeight="1" outlineLevel="1" x14ac:dyDescent="0.3">
      <c r="A18" s="7">
        <v>4</v>
      </c>
      <c r="B18" s="58" t="s">
        <v>31</v>
      </c>
      <c r="C18" s="13" t="s">
        <v>10</v>
      </c>
      <c r="D18" s="40">
        <f>1115/1.2</f>
        <v>929.16666666666674</v>
      </c>
      <c r="E18" s="114"/>
      <c r="F18" s="59"/>
      <c r="G18" s="59"/>
      <c r="H18" s="34"/>
      <c r="I18" s="40"/>
      <c r="J18" s="84">
        <f t="shared" si="10"/>
        <v>0</v>
      </c>
      <c r="K18" s="89">
        <f>SUM(F18:I18)</f>
        <v>0</v>
      </c>
      <c r="L18" s="263"/>
      <c r="M18" s="59"/>
      <c r="N18" s="59"/>
      <c r="O18" s="59"/>
      <c r="P18" s="29"/>
      <c r="Q18" s="84">
        <f t="shared" si="12"/>
        <v>0</v>
      </c>
      <c r="R18" s="109">
        <f>SUM(M18:P18)</f>
        <v>0</v>
      </c>
      <c r="S18" s="272">
        <v>1</v>
      </c>
      <c r="T18" s="36"/>
      <c r="U18" s="59"/>
      <c r="V18" s="59">
        <f>$D$49*S18*D18</f>
        <v>1045.1861333333336</v>
      </c>
      <c r="W18" s="40"/>
      <c r="X18" s="84">
        <f t="shared" si="14"/>
        <v>0</v>
      </c>
      <c r="Y18" s="172">
        <f>SUM(T18:W18)</f>
        <v>1045.1861333333336</v>
      </c>
      <c r="Z18" s="236"/>
      <c r="AA18" s="237"/>
      <c r="AB18" s="222">
        <f>AA18*1.2</f>
        <v>0</v>
      </c>
    </row>
    <row r="19" spans="1:32" s="10" customFormat="1" ht="15" customHeight="1" outlineLevel="1" x14ac:dyDescent="0.3">
      <c r="A19" s="7">
        <v>5</v>
      </c>
      <c r="B19" s="58" t="s">
        <v>59</v>
      </c>
      <c r="C19" s="13" t="s">
        <v>10</v>
      </c>
      <c r="D19" s="40">
        <f>1060.9/1.2</f>
        <v>884.08333333333348</v>
      </c>
      <c r="E19" s="114">
        <v>4</v>
      </c>
      <c r="F19" s="59"/>
      <c r="G19" s="59"/>
      <c r="H19" s="34">
        <f>$D$47*D19*E19</f>
        <v>3677.7866666666673</v>
      </c>
      <c r="I19" s="40"/>
      <c r="J19" s="84">
        <f t="shared" si="10"/>
        <v>0</v>
      </c>
      <c r="K19" s="89">
        <f>SUM(F19:I19)</f>
        <v>3677.7866666666673</v>
      </c>
      <c r="L19" s="263">
        <v>2</v>
      </c>
      <c r="M19" s="59"/>
      <c r="N19" s="59"/>
      <c r="O19" s="59">
        <f>$D$48*$D19*$L19</f>
        <v>1912.4490666666672</v>
      </c>
      <c r="P19" s="29"/>
      <c r="Q19" s="84">
        <f t="shared" si="12"/>
        <v>0</v>
      </c>
      <c r="R19" s="109">
        <f>SUM(M19:P19)</f>
        <v>1912.4490666666672</v>
      </c>
      <c r="S19" s="260"/>
      <c r="T19" s="36"/>
      <c r="U19" s="59"/>
      <c r="V19" s="59"/>
      <c r="W19" s="40"/>
      <c r="X19" s="84">
        <f t="shared" si="14"/>
        <v>0</v>
      </c>
      <c r="Y19" s="172">
        <f t="shared" si="15"/>
        <v>0</v>
      </c>
      <c r="Z19" s="236"/>
      <c r="AA19" s="237"/>
      <c r="AB19" s="222">
        <f>AA19*1.2</f>
        <v>0</v>
      </c>
    </row>
    <row r="20" spans="1:32" s="10" customFormat="1" ht="15" customHeight="1" outlineLevel="1" x14ac:dyDescent="0.3">
      <c r="A20" s="7">
        <v>6</v>
      </c>
      <c r="B20" s="58" t="s">
        <v>57</v>
      </c>
      <c r="C20" s="13" t="s">
        <v>10</v>
      </c>
      <c r="D20" s="40">
        <f>1722/1.2</f>
        <v>1435</v>
      </c>
      <c r="E20" s="114">
        <v>1</v>
      </c>
      <c r="F20" s="59"/>
      <c r="G20" s="59"/>
      <c r="H20" s="34">
        <f>$D$47*D20*E20</f>
        <v>1492.4</v>
      </c>
      <c r="I20" s="40"/>
      <c r="J20" s="84">
        <f t="shared" si="10"/>
        <v>0</v>
      </c>
      <c r="K20" s="89">
        <f t="shared" si="11"/>
        <v>1492.4</v>
      </c>
      <c r="L20" s="263"/>
      <c r="M20" s="59"/>
      <c r="N20" s="59"/>
      <c r="O20" s="59"/>
      <c r="P20" s="29"/>
      <c r="Q20" s="84">
        <f t="shared" si="12"/>
        <v>0</v>
      </c>
      <c r="R20" s="109">
        <f t="shared" si="13"/>
        <v>0</v>
      </c>
      <c r="S20" s="260"/>
      <c r="T20" s="36"/>
      <c r="U20" s="59"/>
      <c r="V20" s="59"/>
      <c r="W20" s="40"/>
      <c r="X20" s="84">
        <f t="shared" si="14"/>
        <v>0</v>
      </c>
      <c r="Y20" s="172">
        <f t="shared" si="15"/>
        <v>0</v>
      </c>
      <c r="Z20" s="236"/>
      <c r="AA20" s="237"/>
      <c r="AB20" s="222">
        <f t="shared" si="1"/>
        <v>0</v>
      </c>
    </row>
    <row r="21" spans="1:32" s="10" customFormat="1" ht="15" customHeight="1" outlineLevel="1" x14ac:dyDescent="0.3">
      <c r="A21" s="7">
        <v>7</v>
      </c>
      <c r="B21" s="58" t="s">
        <v>58</v>
      </c>
      <c r="C21" s="13" t="s">
        <v>10</v>
      </c>
      <c r="D21" s="40">
        <f>4950/1.2</f>
        <v>4125</v>
      </c>
      <c r="E21" s="114">
        <v>1</v>
      </c>
      <c r="F21" s="59"/>
      <c r="G21" s="59"/>
      <c r="H21" s="34"/>
      <c r="I21" s="40">
        <f>$D$47*D21*E21</f>
        <v>4290</v>
      </c>
      <c r="J21" s="84">
        <f t="shared" si="10"/>
        <v>0</v>
      </c>
      <c r="K21" s="89">
        <f t="shared" si="11"/>
        <v>4290</v>
      </c>
      <c r="L21" s="263"/>
      <c r="M21" s="59"/>
      <c r="N21" s="59"/>
      <c r="O21" s="59"/>
      <c r="P21" s="29"/>
      <c r="Q21" s="84">
        <f t="shared" si="12"/>
        <v>0</v>
      </c>
      <c r="R21" s="109">
        <f t="shared" si="13"/>
        <v>0</v>
      </c>
      <c r="S21" s="260"/>
      <c r="T21" s="36"/>
      <c r="U21" s="59"/>
      <c r="V21" s="59"/>
      <c r="W21" s="40"/>
      <c r="X21" s="84">
        <f t="shared" si="14"/>
        <v>0</v>
      </c>
      <c r="Y21" s="172">
        <f t="shared" si="15"/>
        <v>0</v>
      </c>
      <c r="Z21" s="236"/>
      <c r="AA21" s="237"/>
      <c r="AB21" s="222">
        <f t="shared" si="1"/>
        <v>0</v>
      </c>
    </row>
    <row r="22" spans="1:32" s="6" customFormat="1" ht="45" customHeight="1" x14ac:dyDescent="0.3">
      <c r="A22" s="486" t="s">
        <v>48</v>
      </c>
      <c r="B22" s="487"/>
      <c r="C22" s="487"/>
      <c r="D22" s="205">
        <f>K22/D47+R22/D48+Y22/D49</f>
        <v>4102.4879666666666</v>
      </c>
      <c r="E22" s="182"/>
      <c r="F22" s="211" t="str">
        <f>IF(SUBTOTAL(9,F23:F27)=0,"",SUBTOTAL(9,F23:F27))</f>
        <v/>
      </c>
      <c r="G22" s="211">
        <f>IF(SUBTOTAL(9,G23:G27)=0,"",SUBTOTAL(9,G23:G27))</f>
        <v>939.90000000000009</v>
      </c>
      <c r="H22" s="211" t="str">
        <f>IF(SUBTOTAL(9,H23:H27)=0,"",SUBTOTAL(9,H23:H27))</f>
        <v/>
      </c>
      <c r="I22" s="257" t="str">
        <f>IF(SUBTOTAL(9,I23:I27)=0,"",SUBTOTAL(9,I23:I27))</f>
        <v/>
      </c>
      <c r="J22" s="212"/>
      <c r="K22" s="243">
        <f>SUBTOTAL(9,K23:K27)</f>
        <v>939.90000000000009</v>
      </c>
      <c r="L22" s="180"/>
      <c r="M22" s="193" t="str">
        <f t="shared" ref="M22:R22" si="16">IF(SUBTOTAL(9,M23:M27)=0,"",SUBTOTAL(9,M23:M27))</f>
        <v/>
      </c>
      <c r="N22" s="193" t="str">
        <f t="shared" si="16"/>
        <v/>
      </c>
      <c r="O22" s="193">
        <f t="shared" si="16"/>
        <v>347.58904197333339</v>
      </c>
      <c r="P22" s="193">
        <f t="shared" si="16"/>
        <v>1139.5766803200002</v>
      </c>
      <c r="Q22" s="212" t="str">
        <f t="shared" si="16"/>
        <v/>
      </c>
      <c r="R22" s="244">
        <f t="shared" si="16"/>
        <v>1487.1657222933336</v>
      </c>
      <c r="S22" s="182"/>
      <c r="T22" s="193" t="str">
        <f t="shared" ref="T22:Y22" si="17">IF(SUBTOTAL(9,T23:T27)=0,"",SUBTOTAL(9,T23:T27))</f>
        <v/>
      </c>
      <c r="U22" s="193">
        <f t="shared" si="17"/>
        <v>177.16608000000002</v>
      </c>
      <c r="V22" s="193">
        <f t="shared" si="17"/>
        <v>1033.3753894186668</v>
      </c>
      <c r="W22" s="193">
        <f t="shared" si="17"/>
        <v>840.95136353280009</v>
      </c>
      <c r="X22" s="212" t="str">
        <f t="shared" si="17"/>
        <v/>
      </c>
      <c r="Y22" s="243">
        <f t="shared" si="17"/>
        <v>2051.4928329514669</v>
      </c>
      <c r="Z22" s="242">
        <f>D22*1.2</f>
        <v>4922.9855600000001</v>
      </c>
      <c r="AA22" s="242">
        <f>(K22+R22+Y22)</f>
        <v>4478.558555244801</v>
      </c>
      <c r="AB22" s="222">
        <f t="shared" si="1"/>
        <v>5374.2702662937609</v>
      </c>
      <c r="AC22" s="24">
        <f>K22+R22+Y22</f>
        <v>4478.558555244801</v>
      </c>
      <c r="AD22" s="5">
        <f>AC22*1.2</f>
        <v>5374.2702662937609</v>
      </c>
      <c r="AE22" s="5">
        <f>K22/1.03+R22/1.04/1.03+Y22/1.04/1.04/1.03</f>
        <v>4142.3179469255665</v>
      </c>
      <c r="AF22" s="5">
        <f>AE22*1.2</f>
        <v>4970.7815363106793</v>
      </c>
    </row>
    <row r="23" spans="1:32" s="10" customFormat="1" ht="15.75" customHeight="1" outlineLevel="1" x14ac:dyDescent="0.3">
      <c r="A23" s="187">
        <v>1</v>
      </c>
      <c r="B23" s="188" t="s">
        <v>12</v>
      </c>
      <c r="C23" s="189" t="s">
        <v>10</v>
      </c>
      <c r="D23" s="294">
        <f>94.5/1.2</f>
        <v>78.75</v>
      </c>
      <c r="E23" s="207">
        <v>5</v>
      </c>
      <c r="F23" s="142"/>
      <c r="G23" s="142">
        <f>D47*E23*D23</f>
        <v>409.5</v>
      </c>
      <c r="H23" s="142"/>
      <c r="I23" s="142"/>
      <c r="J23" s="152">
        <f>$D23*$D$47*E23-K23</f>
        <v>0</v>
      </c>
      <c r="K23" s="143">
        <f>SUM(F23:I23)</f>
        <v>409.5</v>
      </c>
      <c r="L23" s="194">
        <v>2</v>
      </c>
      <c r="M23" s="145"/>
      <c r="N23" s="142"/>
      <c r="O23" s="142">
        <f>D48*D23*L23</f>
        <v>170.35200000000003</v>
      </c>
      <c r="P23" s="142"/>
      <c r="Q23" s="152">
        <f>$D23*$D$48*L23-R23</f>
        <v>0</v>
      </c>
      <c r="R23" s="148">
        <f>SUM(M23:P23)</f>
        <v>170.35200000000003</v>
      </c>
      <c r="S23" s="265">
        <v>2</v>
      </c>
      <c r="T23" s="145"/>
      <c r="U23" s="142">
        <f>D49*S23*D23</f>
        <v>177.16608000000002</v>
      </c>
      <c r="V23" s="142"/>
      <c r="W23" s="142"/>
      <c r="X23" s="152">
        <f>$D23*$D$49*S23-Y23</f>
        <v>0</v>
      </c>
      <c r="Y23" s="227">
        <f>IF(SUM(T23:W23)=0,"",SUM(T23:W23))</f>
        <v>177.16608000000002</v>
      </c>
      <c r="Z23" s="236"/>
      <c r="AA23" s="237"/>
      <c r="AB23" s="222">
        <f t="shared" si="1"/>
        <v>0</v>
      </c>
    </row>
    <row r="24" spans="1:32" s="10" customFormat="1" ht="15.75" customHeight="1" outlineLevel="1" x14ac:dyDescent="0.3">
      <c r="A24" s="7">
        <v>2</v>
      </c>
      <c r="B24" s="321" t="s">
        <v>13</v>
      </c>
      <c r="C24" s="9" t="s">
        <v>10</v>
      </c>
      <c r="D24" s="319">
        <f>70.8/1.2</f>
        <v>59</v>
      </c>
      <c r="E24" s="65"/>
      <c r="F24" s="47"/>
      <c r="G24" s="47"/>
      <c r="H24" s="47"/>
      <c r="I24" s="47"/>
      <c r="J24" s="82">
        <f>D24*$D$47*E24-K24</f>
        <v>0</v>
      </c>
      <c r="K24" s="90">
        <f>SUM(F24:I24)</f>
        <v>0</v>
      </c>
      <c r="L24" s="113"/>
      <c r="M24" s="48"/>
      <c r="N24" s="49"/>
      <c r="O24" s="49"/>
      <c r="P24" s="49"/>
      <c r="Q24" s="73">
        <f>$D24*$D$48*L24-R24</f>
        <v>0</v>
      </c>
      <c r="R24" s="115"/>
      <c r="S24" s="266">
        <v>3</v>
      </c>
      <c r="T24" s="48"/>
      <c r="U24" s="49"/>
      <c r="V24" s="49">
        <f>D49*S24*D24</f>
        <v>199.10092800000001</v>
      </c>
      <c r="W24" s="49"/>
      <c r="X24" s="82">
        <f>$D24*$D$49*S24-Y24</f>
        <v>0</v>
      </c>
      <c r="Y24" s="172">
        <f>IF(SUM(T24:W24)=0,"",SUM(T24:W24))</f>
        <v>199.10092800000001</v>
      </c>
      <c r="Z24" s="236"/>
      <c r="AA24" s="237"/>
      <c r="AB24" s="222">
        <f t="shared" si="1"/>
        <v>0</v>
      </c>
    </row>
    <row r="25" spans="1:32" s="10" customFormat="1" ht="15.75" customHeight="1" outlineLevel="1" x14ac:dyDescent="0.3">
      <c r="A25" s="7">
        <v>3</v>
      </c>
      <c r="B25" s="321" t="s">
        <v>14</v>
      </c>
      <c r="C25" s="9" t="s">
        <v>10</v>
      </c>
      <c r="D25" s="319">
        <f>122.4/1.2</f>
        <v>102.00000000000001</v>
      </c>
      <c r="E25" s="65">
        <v>5</v>
      </c>
      <c r="F25" s="47"/>
      <c r="G25" s="47">
        <f>D47*D25*E25</f>
        <v>530.40000000000009</v>
      </c>
      <c r="H25" s="47"/>
      <c r="I25" s="47"/>
      <c r="J25" s="82">
        <f>D25*$D$47*E25-K25</f>
        <v>0</v>
      </c>
      <c r="K25" s="90">
        <f>SUM(F25:I25)</f>
        <v>530.40000000000009</v>
      </c>
      <c r="L25" s="113">
        <v>3</v>
      </c>
      <c r="M25" s="48"/>
      <c r="N25" s="49"/>
      <c r="O25" s="49"/>
      <c r="P25" s="49">
        <f>D48*D25*L25</f>
        <v>330.96960000000007</v>
      </c>
      <c r="Q25" s="73">
        <f>$D25*$D$48*L25-R25</f>
        <v>0</v>
      </c>
      <c r="R25" s="115">
        <f>SUM(M25:P25)</f>
        <v>330.96960000000007</v>
      </c>
      <c r="S25" s="266">
        <v>2</v>
      </c>
      <c r="T25" s="48"/>
      <c r="U25" s="49"/>
      <c r="V25" s="49">
        <f>D49*S25*D25</f>
        <v>229.47225600000004</v>
      </c>
      <c r="W25" s="49"/>
      <c r="X25" s="82">
        <f>$D25*$D$49*S25-Y25</f>
        <v>0</v>
      </c>
      <c r="Y25" s="172">
        <f>IF(SUM(T25:W25)=0,"",SUM(T25:W25))</f>
        <v>229.47225600000004</v>
      </c>
      <c r="Z25" s="236"/>
      <c r="AA25" s="237"/>
      <c r="AB25" s="222">
        <f t="shared" si="1"/>
        <v>0</v>
      </c>
    </row>
    <row r="26" spans="1:32" s="10" customFormat="1" ht="27" customHeight="1" outlineLevel="1" x14ac:dyDescent="0.3">
      <c r="A26" s="7">
        <v>4</v>
      </c>
      <c r="B26" s="321" t="s">
        <v>16</v>
      </c>
      <c r="C26" s="14" t="s">
        <v>15</v>
      </c>
      <c r="D26" s="319">
        <f>196.63873/1.2</f>
        <v>163.86560833333334</v>
      </c>
      <c r="E26" s="66"/>
      <c r="F26" s="47"/>
      <c r="G26" s="47"/>
      <c r="H26" s="47"/>
      <c r="I26" s="47"/>
      <c r="J26" s="82">
        <f>D26*$D$47*E26-K26</f>
        <v>0</v>
      </c>
      <c r="K26" s="90"/>
      <c r="L26" s="116">
        <v>1</v>
      </c>
      <c r="M26" s="48"/>
      <c r="N26" s="49"/>
      <c r="O26" s="49">
        <f>D48*D26*L26</f>
        <v>177.23704197333336</v>
      </c>
      <c r="P26" s="49"/>
      <c r="Q26" s="73">
        <f>$D26*$D$48*L26-R26</f>
        <v>0</v>
      </c>
      <c r="R26" s="115">
        <f>SUM(M26:P26)</f>
        <v>177.23704197333336</v>
      </c>
      <c r="S26" s="267">
        <v>1</v>
      </c>
      <c r="T26" s="48"/>
      <c r="U26" s="49"/>
      <c r="V26" s="49">
        <f>D49*S26*D26</f>
        <v>184.3265236522667</v>
      </c>
      <c r="W26" s="49"/>
      <c r="X26" s="82">
        <f>$D26*$D$49*S26-Y26</f>
        <v>0</v>
      </c>
      <c r="Y26" s="172">
        <f>IF(SUM(T26:W26)=0,"",SUM(T26:W26))</f>
        <v>184.3265236522667</v>
      </c>
      <c r="Z26" s="236"/>
      <c r="AA26" s="237"/>
      <c r="AB26" s="222">
        <f t="shared" si="1"/>
        <v>0</v>
      </c>
    </row>
    <row r="27" spans="1:32" s="10" customFormat="1" ht="27" customHeight="1" outlineLevel="1" x14ac:dyDescent="0.3">
      <c r="A27" s="166">
        <v>5</v>
      </c>
      <c r="B27" s="322" t="s">
        <v>17</v>
      </c>
      <c r="C27" s="206" t="s">
        <v>15</v>
      </c>
      <c r="D27" s="320">
        <f>448.56162/1.2</f>
        <v>373.80135000000001</v>
      </c>
      <c r="E27" s="184"/>
      <c r="F27" s="183"/>
      <c r="G27" s="183"/>
      <c r="H27" s="183"/>
      <c r="I27" s="183"/>
      <c r="J27" s="151">
        <f>D27*$D$47*E27-K27</f>
        <v>0</v>
      </c>
      <c r="K27" s="149"/>
      <c r="L27" s="185">
        <v>2</v>
      </c>
      <c r="M27" s="150"/>
      <c r="N27" s="183"/>
      <c r="O27" s="183"/>
      <c r="P27" s="183">
        <f>D48*D27*L27</f>
        <v>808.60708032000014</v>
      </c>
      <c r="Q27" s="151">
        <f>$D27*$D$48*L27-R27</f>
        <v>0</v>
      </c>
      <c r="R27" s="186">
        <f>SUM(M27:P27)</f>
        <v>808.60708032000014</v>
      </c>
      <c r="S27" s="268">
        <v>3</v>
      </c>
      <c r="T27" s="150"/>
      <c r="U27" s="183"/>
      <c r="V27" s="183">
        <f>D49*1*D27</f>
        <v>420.47568176640004</v>
      </c>
      <c r="W27" s="183">
        <f>D49*2*D27</f>
        <v>840.95136353280009</v>
      </c>
      <c r="X27" s="151">
        <f>$D27*$D$49*S27-Y27</f>
        <v>0</v>
      </c>
      <c r="Y27" s="172">
        <f>IF(SUM(T27:W27)=0,"",SUM(T27:W27))</f>
        <v>1261.4270452992</v>
      </c>
      <c r="Z27" s="236"/>
      <c r="AA27" s="237"/>
      <c r="AB27" s="222">
        <f t="shared" si="1"/>
        <v>0</v>
      </c>
    </row>
    <row r="28" spans="1:32" s="11" customFormat="1" ht="33" customHeight="1" x14ac:dyDescent="0.3">
      <c r="A28" s="478" t="s">
        <v>49</v>
      </c>
      <c r="B28" s="479"/>
      <c r="C28" s="479"/>
      <c r="D28" s="205">
        <f>K28/D47+R28/D48+Y28/D49</f>
        <v>120</v>
      </c>
      <c r="E28" s="210"/>
      <c r="F28" s="190" t="str">
        <f>IF(SUBTOTAL(9,F29:F31)=0,"",SUBTOTAL(9,F29:F31))</f>
        <v/>
      </c>
      <c r="G28" s="190" t="str">
        <f>IF(SUBTOTAL(9,G29:G31)=0,"",SUBTOTAL(9,G29:G31))</f>
        <v/>
      </c>
      <c r="H28" s="190" t="str">
        <f>IF(SUBTOTAL(9,H29:H31)=0,"",SUBTOTAL(9,H29:H31))</f>
        <v/>
      </c>
      <c r="I28" s="190">
        <f>IF(SUBTOTAL(9,I29:I31)=0,"",SUBTOTAL(9,I29:I31))</f>
        <v>41.6</v>
      </c>
      <c r="J28" s="192" t="str">
        <f>IF(SUBTOTAL(9,J29:J31)=0,"",SUBTOTAL(9,J29:J31))</f>
        <v/>
      </c>
      <c r="K28" s="193">
        <f>SUBTOTAL(9,K29:K31)</f>
        <v>41.6</v>
      </c>
      <c r="L28" s="180"/>
      <c r="M28" s="193" t="str">
        <f t="shared" ref="M28:R28" si="18">IF(SUBTOTAL(9,M29:M31)=0,"",SUBTOTAL(9,M29:M31))</f>
        <v/>
      </c>
      <c r="N28" s="193" t="str">
        <f t="shared" si="18"/>
        <v/>
      </c>
      <c r="O28" s="190" t="str">
        <f t="shared" si="18"/>
        <v/>
      </c>
      <c r="P28" s="190">
        <f t="shared" si="18"/>
        <v>43.264000000000003</v>
      </c>
      <c r="Q28" s="192" t="str">
        <f t="shared" si="18"/>
        <v/>
      </c>
      <c r="R28" s="201">
        <f t="shared" si="18"/>
        <v>43.264000000000003</v>
      </c>
      <c r="S28" s="182"/>
      <c r="T28" s="193" t="str">
        <f t="shared" ref="T28:Y28" si="19">IF(SUBTOTAL(9,T29:T31)=0,"",SUBTOTAL(9,T29:T31))</f>
        <v/>
      </c>
      <c r="U28" s="190" t="str">
        <f t="shared" si="19"/>
        <v/>
      </c>
      <c r="V28" s="190" t="str">
        <f t="shared" si="19"/>
        <v/>
      </c>
      <c r="W28" s="190">
        <f t="shared" si="19"/>
        <v>44.994560000000007</v>
      </c>
      <c r="X28" s="192" t="str">
        <f t="shared" si="19"/>
        <v/>
      </c>
      <c r="Y28" s="193">
        <f t="shared" si="19"/>
        <v>44.994560000000007</v>
      </c>
      <c r="Z28" s="242">
        <f>D28*1.2</f>
        <v>144</v>
      </c>
      <c r="AA28" s="242">
        <f>(K28+R28+Y28)</f>
        <v>129.85856000000001</v>
      </c>
      <c r="AB28" s="222">
        <f t="shared" si="1"/>
        <v>155.83027200000001</v>
      </c>
      <c r="AC28" s="24">
        <f>K28+R28+Y28</f>
        <v>129.85856000000001</v>
      </c>
      <c r="AD28" s="5">
        <f>AC28*1.2</f>
        <v>155.83027200000001</v>
      </c>
      <c r="AE28" s="5">
        <f>K28/1.03+R28/1.04/1.03+Y28/1.04/1.04/1.03</f>
        <v>121.16504854368932</v>
      </c>
      <c r="AF28" s="5">
        <f>AE28*1.2</f>
        <v>145.39805825242718</v>
      </c>
    </row>
    <row r="29" spans="1:32" s="10" customFormat="1" ht="39" customHeight="1" outlineLevel="1" x14ac:dyDescent="0.3">
      <c r="A29" s="187">
        <v>1</v>
      </c>
      <c r="B29" s="325" t="s">
        <v>27</v>
      </c>
      <c r="C29" s="189" t="s">
        <v>15</v>
      </c>
      <c r="D29" s="323">
        <v>40</v>
      </c>
      <c r="E29" s="207">
        <v>1</v>
      </c>
      <c r="F29" s="208"/>
      <c r="G29" s="196"/>
      <c r="H29" s="196"/>
      <c r="I29" s="196">
        <f>D47*D29*E29</f>
        <v>41.6</v>
      </c>
      <c r="J29" s="198">
        <f>D29*$D$47*E29-K29</f>
        <v>0</v>
      </c>
      <c r="K29" s="209">
        <f>SUM(F29:I29)</f>
        <v>41.6</v>
      </c>
      <c r="L29" s="194"/>
      <c r="M29" s="195"/>
      <c r="N29" s="196"/>
      <c r="O29" s="196"/>
      <c r="P29" s="197"/>
      <c r="Q29" s="198">
        <f>$D29*$D$48*L29-R29</f>
        <v>0</v>
      </c>
      <c r="R29" s="199">
        <f>SUM(M29:P29)</f>
        <v>0</v>
      </c>
      <c r="S29" s="200"/>
      <c r="T29" s="195"/>
      <c r="U29" s="196"/>
      <c r="V29" s="196"/>
      <c r="W29" s="197"/>
      <c r="X29" s="198">
        <f>$D29*$D$49*S29-Y29</f>
        <v>0</v>
      </c>
      <c r="Y29" s="209">
        <f>SUM(T29:W29)</f>
        <v>0</v>
      </c>
      <c r="Z29" s="238"/>
      <c r="AA29" s="239"/>
      <c r="AB29" s="222">
        <f t="shared" si="1"/>
        <v>0</v>
      </c>
    </row>
    <row r="30" spans="1:32" s="10" customFormat="1" ht="51" outlineLevel="1" x14ac:dyDescent="0.3">
      <c r="A30" s="7">
        <v>2</v>
      </c>
      <c r="B30" s="321" t="s">
        <v>63</v>
      </c>
      <c r="C30" s="9" t="s">
        <v>15</v>
      </c>
      <c r="D30" s="324">
        <v>40</v>
      </c>
      <c r="E30" s="65"/>
      <c r="F30" s="50"/>
      <c r="G30" s="37"/>
      <c r="H30" s="37"/>
      <c r="I30" s="37"/>
      <c r="J30" s="122">
        <f>D30*$D$47*E30-K30</f>
        <v>0</v>
      </c>
      <c r="K30" s="91">
        <f>SUM(F30:I30)</f>
        <v>0</v>
      </c>
      <c r="L30" s="113">
        <v>1</v>
      </c>
      <c r="M30" s="51"/>
      <c r="N30" s="52"/>
      <c r="O30" s="52"/>
      <c r="P30" s="121">
        <f>D48*D30*L30</f>
        <v>43.264000000000003</v>
      </c>
      <c r="Q30" s="122">
        <f>$D30*$D$48*L30-R30</f>
        <v>0</v>
      </c>
      <c r="R30" s="117">
        <f>SUM(M30:P30)</f>
        <v>43.264000000000003</v>
      </c>
      <c r="S30" s="96"/>
      <c r="T30" s="51"/>
      <c r="U30" s="52"/>
      <c r="V30" s="52"/>
      <c r="W30" s="121"/>
      <c r="X30" s="122">
        <f>$D30*$D$49*S30-Y30</f>
        <v>0</v>
      </c>
      <c r="Y30" s="228">
        <f>SUM(T30:W30)</f>
        <v>0</v>
      </c>
      <c r="Z30" s="238"/>
      <c r="AA30" s="239"/>
      <c r="AB30" s="222">
        <f t="shared" si="1"/>
        <v>0</v>
      </c>
    </row>
    <row r="31" spans="1:32" s="10" customFormat="1" ht="51" outlineLevel="1" x14ac:dyDescent="0.3">
      <c r="A31" s="7">
        <v>3</v>
      </c>
      <c r="B31" s="326" t="s">
        <v>30</v>
      </c>
      <c r="C31" s="14" t="s">
        <v>15</v>
      </c>
      <c r="D31" s="324">
        <v>40</v>
      </c>
      <c r="E31" s="65"/>
      <c r="F31" s="50"/>
      <c r="G31" s="37"/>
      <c r="H31" s="37"/>
      <c r="I31" s="37"/>
      <c r="J31" s="122">
        <f>D31*$D$47*E31-K31</f>
        <v>0</v>
      </c>
      <c r="K31" s="91">
        <f>SUM(F31:I31)</f>
        <v>0</v>
      </c>
      <c r="L31" s="113"/>
      <c r="M31" s="51"/>
      <c r="N31" s="52"/>
      <c r="O31" s="52"/>
      <c r="P31" s="121"/>
      <c r="Q31" s="122">
        <f>$D31*$D$48*L31-R31</f>
        <v>0</v>
      </c>
      <c r="R31" s="117">
        <f>SUM(M31:P31)</f>
        <v>0</v>
      </c>
      <c r="S31" s="96">
        <v>1</v>
      </c>
      <c r="T31" s="51"/>
      <c r="U31" s="52"/>
      <c r="V31" s="52"/>
      <c r="W31" s="121">
        <f>S31*D31*D49</f>
        <v>44.994560000000007</v>
      </c>
      <c r="X31" s="122">
        <f>$D31*$D$49*S31-Y31</f>
        <v>0</v>
      </c>
      <c r="Y31" s="228">
        <f>SUM(T31:W31)</f>
        <v>44.994560000000007</v>
      </c>
      <c r="Z31" s="238"/>
      <c r="AA31" s="239"/>
      <c r="AB31" s="222">
        <f t="shared" si="1"/>
        <v>0</v>
      </c>
    </row>
    <row r="32" spans="1:32" s="11" customFormat="1" ht="77.25" customHeight="1" x14ac:dyDescent="0.3">
      <c r="A32" s="478" t="s">
        <v>43</v>
      </c>
      <c r="B32" s="479"/>
      <c r="C32" s="479"/>
      <c r="D32" s="205">
        <f>K32/D47+R32/D48+Y32/D49</f>
        <v>20867</v>
      </c>
      <c r="E32" s="210"/>
      <c r="F32" s="192" t="str">
        <f t="shared" ref="F32:K32" si="20">IF(SUBTOTAL(9,F33:F35)=0,"",SUBTOTAL(9,F33:F35))</f>
        <v/>
      </c>
      <c r="G32" s="192" t="str">
        <f t="shared" si="20"/>
        <v/>
      </c>
      <c r="H32" s="190" t="str">
        <f t="shared" si="20"/>
        <v/>
      </c>
      <c r="I32" s="190">
        <f t="shared" si="20"/>
        <v>4463.68</v>
      </c>
      <c r="J32" s="192" t="str">
        <f t="shared" si="20"/>
        <v/>
      </c>
      <c r="K32" s="243">
        <f t="shared" si="20"/>
        <v>4463.68</v>
      </c>
      <c r="L32" s="180"/>
      <c r="M32" s="193" t="str">
        <f t="shared" ref="M32:R32" si="21">IF(SUBTOTAL(9,M33:M35)=0,"",SUBTOTAL(9,M33:M35))</f>
        <v/>
      </c>
      <c r="N32" s="190" t="str">
        <f t="shared" si="21"/>
        <v/>
      </c>
      <c r="O32" s="190" t="str">
        <f t="shared" si="21"/>
        <v/>
      </c>
      <c r="P32" s="190">
        <f t="shared" si="21"/>
        <v>14060.800000000001</v>
      </c>
      <c r="Q32" s="192" t="str">
        <f t="shared" si="21"/>
        <v/>
      </c>
      <c r="R32" s="244">
        <f t="shared" si="21"/>
        <v>14060.800000000001</v>
      </c>
      <c r="S32" s="182"/>
      <c r="T32" s="190" t="str">
        <f t="shared" ref="T32:Y32" si="22">IF(SUBTOTAL(9,T33:T35)=0,"",SUBTOTAL(9,T33:T35))</f>
        <v/>
      </c>
      <c r="U32" s="190" t="str">
        <f t="shared" si="22"/>
        <v/>
      </c>
      <c r="V32" s="190" t="str">
        <f t="shared" si="22"/>
        <v/>
      </c>
      <c r="W32" s="190">
        <f t="shared" si="22"/>
        <v>4021.3888000000002</v>
      </c>
      <c r="X32" s="192" t="str">
        <f t="shared" si="22"/>
        <v/>
      </c>
      <c r="Y32" s="243">
        <f t="shared" si="22"/>
        <v>4021.3888000000002</v>
      </c>
      <c r="Z32" s="242">
        <f>D32*1.2</f>
        <v>25040.399999999998</v>
      </c>
      <c r="AA32" s="242">
        <f>(R32+Y32)</f>
        <v>18082.1888</v>
      </c>
      <c r="AB32" s="222">
        <f t="shared" si="1"/>
        <v>21698.626560000001</v>
      </c>
      <c r="AC32" s="24">
        <f>K32+R32+Y32</f>
        <v>22545.868800000004</v>
      </c>
      <c r="AD32" s="5">
        <f>AC32*1.2</f>
        <v>27055.042560000005</v>
      </c>
      <c r="AE32" s="5">
        <f>K32/1.03+R32/1.04/1.03+Y32/1.04/1.04/1.03</f>
        <v>21069.592233009709</v>
      </c>
      <c r="AF32" s="5">
        <f>AE32*1.2</f>
        <v>25283.510679611649</v>
      </c>
    </row>
    <row r="33" spans="1:32" s="17" customFormat="1" ht="78" customHeight="1" outlineLevel="1" x14ac:dyDescent="0.3">
      <c r="A33" s="124">
        <v>1</v>
      </c>
      <c r="B33" s="330" t="s">
        <v>28</v>
      </c>
      <c r="C33" s="16" t="s">
        <v>18</v>
      </c>
      <c r="D33" s="327">
        <f>148*29</f>
        <v>4292</v>
      </c>
      <c r="E33" s="16">
        <v>1</v>
      </c>
      <c r="F33" s="145"/>
      <c r="G33" s="142"/>
      <c r="H33" s="142"/>
      <c r="I33" s="142">
        <f>D47*D33*E33</f>
        <v>4463.68</v>
      </c>
      <c r="J33" s="152">
        <f>D33*$D$47*E33-K33</f>
        <v>0</v>
      </c>
      <c r="K33" s="143">
        <f>SUM(F33:I33)</f>
        <v>4463.68</v>
      </c>
      <c r="L33" s="144"/>
      <c r="M33" s="145"/>
      <c r="N33" s="142"/>
      <c r="O33" s="142"/>
      <c r="P33" s="146"/>
      <c r="Q33" s="147">
        <f>$D33*$D$48*L33-R33</f>
        <v>0</v>
      </c>
      <c r="R33" s="148">
        <f>SUM(M33:P33)</f>
        <v>0</v>
      </c>
      <c r="S33" s="191"/>
      <c r="T33" s="145"/>
      <c r="U33" s="142"/>
      <c r="V33" s="142"/>
      <c r="W33" s="146"/>
      <c r="X33" s="147">
        <f>$D33*$D$49*S33-Y33</f>
        <v>0</v>
      </c>
      <c r="Y33" s="143">
        <f>SUM(T33:W33)</f>
        <v>0</v>
      </c>
      <c r="Z33" s="240"/>
      <c r="AA33" s="241"/>
      <c r="AB33" s="222">
        <f t="shared" si="1"/>
        <v>0</v>
      </c>
    </row>
    <row r="34" spans="1:32" s="17" customFormat="1" ht="65.25" customHeight="1" outlineLevel="1" x14ac:dyDescent="0.3">
      <c r="A34" s="125">
        <v>2</v>
      </c>
      <c r="B34" s="321" t="s">
        <v>64</v>
      </c>
      <c r="C34" s="15" t="s">
        <v>18</v>
      </c>
      <c r="D34" s="328">
        <v>13000</v>
      </c>
      <c r="E34" s="15"/>
      <c r="F34" s="48"/>
      <c r="G34" s="49"/>
      <c r="H34" s="49"/>
      <c r="I34" s="49"/>
      <c r="J34" s="82">
        <f>D34*$D$47*E34-K34</f>
        <v>0</v>
      </c>
      <c r="K34" s="90">
        <f>SUM(F34:I34)</f>
        <v>0</v>
      </c>
      <c r="L34" s="118">
        <v>1</v>
      </c>
      <c r="M34" s="48"/>
      <c r="N34" s="49"/>
      <c r="O34" s="49"/>
      <c r="P34" s="33">
        <f>L34*D34*D48</f>
        <v>14060.800000000001</v>
      </c>
      <c r="Q34" s="123">
        <f>$D34*$D$48*L34-R34</f>
        <v>0</v>
      </c>
      <c r="R34" s="115">
        <f>SUM(M34:P34)</f>
        <v>14060.800000000001</v>
      </c>
      <c r="S34" s="97"/>
      <c r="T34" s="48"/>
      <c r="U34" s="49"/>
      <c r="V34" s="49"/>
      <c r="W34" s="33"/>
      <c r="X34" s="123">
        <f>$D34*$D$49*S34-Y34</f>
        <v>0</v>
      </c>
      <c r="Y34" s="229">
        <f>SUM(T34:W34)</f>
        <v>0</v>
      </c>
      <c r="Z34" s="240"/>
      <c r="AA34" s="241"/>
      <c r="AB34" s="222">
        <f t="shared" si="1"/>
        <v>0</v>
      </c>
    </row>
    <row r="35" spans="1:32" s="17" customFormat="1" ht="78" customHeight="1" outlineLevel="1" x14ac:dyDescent="0.3">
      <c r="A35" s="125">
        <v>3</v>
      </c>
      <c r="B35" s="326" t="s">
        <v>29</v>
      </c>
      <c r="C35" s="30" t="s">
        <v>18</v>
      </c>
      <c r="D35" s="329">
        <f>2000/80*143</f>
        <v>3575</v>
      </c>
      <c r="E35" s="30"/>
      <c r="F35" s="48"/>
      <c r="G35" s="49"/>
      <c r="H35" s="49"/>
      <c r="I35" s="49"/>
      <c r="J35" s="82">
        <f>D35*$D$47*E35-K35</f>
        <v>0</v>
      </c>
      <c r="K35" s="90">
        <f>SUM(F35:I35)</f>
        <v>0</v>
      </c>
      <c r="L35" s="119"/>
      <c r="M35" s="48"/>
      <c r="N35" s="49"/>
      <c r="O35" s="49"/>
      <c r="P35" s="33"/>
      <c r="Q35" s="123">
        <f>$D35*$D$48*L35-R35</f>
        <v>0</v>
      </c>
      <c r="R35" s="115">
        <f>SUM(M35:P35)</f>
        <v>0</v>
      </c>
      <c r="S35" s="98">
        <v>1</v>
      </c>
      <c r="T35" s="48"/>
      <c r="U35" s="49"/>
      <c r="V35" s="49"/>
      <c r="W35" s="33">
        <f>S35*D35*D49</f>
        <v>4021.3888000000002</v>
      </c>
      <c r="X35" s="123">
        <f>$D35*$D$49*S35-Y35</f>
        <v>0</v>
      </c>
      <c r="Y35" s="229">
        <f>SUM(T35:W35)</f>
        <v>4021.3888000000002</v>
      </c>
      <c r="Z35" s="240"/>
      <c r="AA35" s="241"/>
      <c r="AB35" s="222">
        <f t="shared" si="1"/>
        <v>0</v>
      </c>
    </row>
    <row r="36" spans="1:32" ht="30.75" customHeight="1" x14ac:dyDescent="0.3">
      <c r="A36" s="478" t="s">
        <v>61</v>
      </c>
      <c r="B36" s="479"/>
      <c r="C36" s="479"/>
      <c r="D36" s="248">
        <f>K36/D47+R36/D48</f>
        <v>8564.192500000001</v>
      </c>
      <c r="E36" s="210"/>
      <c r="F36" s="211" t="str">
        <f t="shared" ref="F36:Y36" si="23">IF(SUBTOTAL(9,F37:F39)=0,"",SUBTOTAL(9,F37:F39))</f>
        <v/>
      </c>
      <c r="G36" s="211" t="str">
        <f t="shared" si="23"/>
        <v/>
      </c>
      <c r="H36" s="211">
        <f t="shared" si="23"/>
        <v>3744.2409333333339</v>
      </c>
      <c r="I36" s="211" t="str">
        <f t="shared" si="23"/>
        <v/>
      </c>
      <c r="J36" s="217" t="str">
        <f t="shared" si="23"/>
        <v/>
      </c>
      <c r="K36" s="243">
        <f t="shared" si="23"/>
        <v>3744.2409333333339</v>
      </c>
      <c r="L36" s="180">
        <f t="shared" si="23"/>
        <v>1</v>
      </c>
      <c r="M36" s="211" t="str">
        <f t="shared" si="23"/>
        <v/>
      </c>
      <c r="N36" s="211" t="str">
        <f t="shared" si="23"/>
        <v/>
      </c>
      <c r="O36" s="190">
        <f t="shared" si="23"/>
        <v>5369.0200373333346</v>
      </c>
      <c r="P36" s="211" t="str">
        <f t="shared" si="23"/>
        <v/>
      </c>
      <c r="Q36" s="217" t="str">
        <f t="shared" si="23"/>
        <v/>
      </c>
      <c r="R36" s="244">
        <f t="shared" si="23"/>
        <v>5369.0200373333346</v>
      </c>
      <c r="S36" s="182">
        <f t="shared" si="23"/>
        <v>1</v>
      </c>
      <c r="T36" s="211" t="str">
        <f t="shared" si="23"/>
        <v/>
      </c>
      <c r="U36" s="190">
        <f t="shared" si="23"/>
        <v>2689.7994121989118</v>
      </c>
      <c r="V36" s="190">
        <f t="shared" si="23"/>
        <v>6276.198628464128</v>
      </c>
      <c r="W36" s="211" t="str">
        <f t="shared" si="23"/>
        <v/>
      </c>
      <c r="X36" s="217" t="str">
        <f t="shared" si="23"/>
        <v/>
      </c>
      <c r="Y36" s="243">
        <f t="shared" si="23"/>
        <v>8965.9980406630402</v>
      </c>
      <c r="Z36" s="242">
        <f>D36*1.2</f>
        <v>10277.031000000001</v>
      </c>
      <c r="AA36" s="242">
        <f>(K36+R36+Y36)</f>
        <v>18079.259011329708</v>
      </c>
      <c r="AB36" s="222">
        <f t="shared" si="1"/>
        <v>21695.110813595649</v>
      </c>
      <c r="AC36" s="24">
        <f>K36+R36+Y36</f>
        <v>18079.259011329708</v>
      </c>
      <c r="AD36" s="5">
        <f>AC36*1.2</f>
        <v>21695.110813595649</v>
      </c>
      <c r="AE36" s="5">
        <f>K36/1.03+R36/1.04/1.03+Y36/1.04/1.04/1.03</f>
        <v>16695.465431456312</v>
      </c>
      <c r="AF36" s="5">
        <f>AE36*1.2</f>
        <v>20034.558517747573</v>
      </c>
    </row>
    <row r="37" spans="1:32" s="18" customFormat="1" ht="51.75" customHeight="1" outlineLevel="1" x14ac:dyDescent="0.3">
      <c r="A37" s="125">
        <v>1</v>
      </c>
      <c r="B37" s="331" t="s">
        <v>35</v>
      </c>
      <c r="C37" s="131" t="s">
        <v>18</v>
      </c>
      <c r="D37" s="334">
        <f>4320.278/1.2</f>
        <v>3600.231666666667</v>
      </c>
      <c r="E37" s="132">
        <v>1</v>
      </c>
      <c r="F37" s="133"/>
      <c r="G37" s="134"/>
      <c r="H37" s="134">
        <f>E37*D37*D47</f>
        <v>3744.2409333333339</v>
      </c>
      <c r="I37" s="139"/>
      <c r="J37" s="123">
        <f>D37*$D$47*E37-K37</f>
        <v>0</v>
      </c>
      <c r="K37" s="135">
        <f>SUM(F37:I37)</f>
        <v>3744.2409333333339</v>
      </c>
      <c r="L37" s="136"/>
      <c r="M37" s="133"/>
      <c r="N37" s="134"/>
      <c r="O37" s="154"/>
      <c r="P37" s="139"/>
      <c r="Q37" s="123">
        <f>$D37*$D$48*L37-R37</f>
        <v>0</v>
      </c>
      <c r="R37" s="137">
        <f>SUM(M37:P37)</f>
        <v>0</v>
      </c>
      <c r="S37" s="138"/>
      <c r="T37" s="133"/>
      <c r="U37" s="134"/>
      <c r="V37" s="134"/>
      <c r="W37" s="139"/>
      <c r="X37" s="123">
        <f>$D37*$D$49*S37-Y37</f>
        <v>0</v>
      </c>
      <c r="Y37" s="135">
        <f>SUM(T37:W37)</f>
        <v>0</v>
      </c>
      <c r="Z37" s="240"/>
      <c r="AA37" s="241"/>
      <c r="AB37" s="222">
        <f t="shared" si="1"/>
        <v>0</v>
      </c>
    </row>
    <row r="38" spans="1:32" s="18" customFormat="1" ht="69" customHeight="1" outlineLevel="1" x14ac:dyDescent="0.3">
      <c r="A38" s="287">
        <v>2</v>
      </c>
      <c r="B38" s="332" t="s">
        <v>36</v>
      </c>
      <c r="C38" s="131" t="s">
        <v>18</v>
      </c>
      <c r="D38" s="334">
        <f>5956.753/1.2</f>
        <v>4963.9608333333335</v>
      </c>
      <c r="E38" s="132"/>
      <c r="F38" s="133"/>
      <c r="G38" s="289"/>
      <c r="H38" s="289"/>
      <c r="I38" s="290"/>
      <c r="J38" s="291">
        <f>D38*$D$47*E38-K38</f>
        <v>0</v>
      </c>
      <c r="K38" s="135">
        <f>SUM(F38:I38)</f>
        <v>0</v>
      </c>
      <c r="L38" s="136">
        <v>1</v>
      </c>
      <c r="M38" s="133"/>
      <c r="N38" s="289"/>
      <c r="O38" s="289">
        <f>L38*D38*D48</f>
        <v>5369.0200373333346</v>
      </c>
      <c r="P38" s="290"/>
      <c r="Q38" s="291">
        <f>$D38*$D$48*L38-R38</f>
        <v>0</v>
      </c>
      <c r="R38" s="292">
        <f>SUM(M38:P38)</f>
        <v>5369.0200373333346</v>
      </c>
      <c r="S38" s="138"/>
      <c r="T38" s="133"/>
      <c r="U38" s="289"/>
      <c r="V38" s="289"/>
      <c r="W38" s="290"/>
      <c r="X38" s="291">
        <f>$D38*$D$49*S38-Y38</f>
        <v>0</v>
      </c>
      <c r="Y38" s="293">
        <f>SUM(T38:W38)</f>
        <v>0</v>
      </c>
      <c r="Z38" s="240"/>
      <c r="AA38" s="241"/>
      <c r="AB38" s="222">
        <f>AA38*1.2</f>
        <v>0</v>
      </c>
    </row>
    <row r="39" spans="1:32" s="18" customFormat="1" ht="54" customHeight="1" outlineLevel="1" x14ac:dyDescent="0.3">
      <c r="A39" s="275">
        <v>3</v>
      </c>
      <c r="B39" s="333" t="s">
        <v>65</v>
      </c>
      <c r="C39" s="276" t="s">
        <v>18</v>
      </c>
      <c r="D39" s="335">
        <f>7970.73961</f>
        <v>7970.7396099999996</v>
      </c>
      <c r="E39" s="277"/>
      <c r="F39" s="278"/>
      <c r="G39" s="279"/>
      <c r="H39" s="279"/>
      <c r="I39" s="280"/>
      <c r="J39" s="281">
        <f>D39*$D$47*E39-K39</f>
        <v>0</v>
      </c>
      <c r="K39" s="282">
        <f>SUM(F39:I39)</f>
        <v>0</v>
      </c>
      <c r="L39" s="283"/>
      <c r="M39" s="278"/>
      <c r="N39" s="279"/>
      <c r="O39" s="279"/>
      <c r="P39" s="280"/>
      <c r="Q39" s="281">
        <f>K39*$D$47*L39-R39</f>
        <v>0</v>
      </c>
      <c r="R39" s="284">
        <f>SUM(M39:P39)</f>
        <v>0</v>
      </c>
      <c r="S39" s="285">
        <v>1</v>
      </c>
      <c r="T39" s="278"/>
      <c r="U39" s="279">
        <f>D49*S39*D39*0.3</f>
        <v>2689.7994121989118</v>
      </c>
      <c r="V39" s="279">
        <f>D49*S39*D39*0.7</f>
        <v>6276.198628464128</v>
      </c>
      <c r="W39" s="280"/>
      <c r="X39" s="281">
        <f>$D39*$D$49*S39-Y39</f>
        <v>0</v>
      </c>
      <c r="Y39" s="286">
        <f>SUM(T39:W39)</f>
        <v>8965.9980406630402</v>
      </c>
      <c r="Z39" s="240"/>
      <c r="AA39" s="241"/>
      <c r="AB39" s="222"/>
    </row>
    <row r="40" spans="1:32" ht="60.75" customHeight="1" x14ac:dyDescent="0.3">
      <c r="A40" s="479" t="s">
        <v>67</v>
      </c>
      <c r="B40" s="480"/>
      <c r="C40" s="480"/>
      <c r="D40" s="274">
        <f>K40/D47+R40/D48+Y40/D49</f>
        <v>347403.17343752843</v>
      </c>
      <c r="E40" s="249"/>
      <c r="F40" s="250">
        <f>IF(SUBTOTAL(9,F41:F44)=0,"",SUBTOTAL(9,F41:F44))</f>
        <v>34097.47752</v>
      </c>
      <c r="G40" s="250">
        <f>IF(SUBTOTAL(9,G41:G44)=0,"",SUBTOTAL(9,G41:G44))</f>
        <v>23314.25</v>
      </c>
      <c r="H40" s="250">
        <f>IF(SUBTOTAL(9,H41:H44)=0,"",SUBTOTAL(9,H41:H44))</f>
        <v>23314.25</v>
      </c>
      <c r="I40" s="250">
        <f>IF(SUBTOTAL(9,I41:I44)=0,"",SUBTOTAL(9,I41:I44))</f>
        <v>23314.25</v>
      </c>
      <c r="J40" s="251"/>
      <c r="K40" s="245">
        <f>SUBTOTAL(9,K41:K44)</f>
        <v>104040.22752</v>
      </c>
      <c r="L40" s="252"/>
      <c r="M40" s="250">
        <f>IF(SUBTOTAL(9,M41:M44)=0,"",SUBTOTAL(9,M41:M44))</f>
        <v>21385.144999999997</v>
      </c>
      <c r="N40" s="250">
        <f>IF(SUBTOTAL(9,N41:N44)=0,"",SUBTOTAL(9,N41:N44))</f>
        <v>21385.144999999997</v>
      </c>
      <c r="O40" s="250">
        <f>IF(SUBTOTAL(9,O41:O44)=0,"",SUBTOTAL(9,O41:O44))</f>
        <v>21385.144999999997</v>
      </c>
      <c r="P40" s="250">
        <f>IF(SUBTOTAL(9,P41:P44)=0,"",SUBTOTAL(9,P41:P44))</f>
        <v>21385.144999999997</v>
      </c>
      <c r="Q40" s="251"/>
      <c r="R40" s="246">
        <f>SUBTOTAL(9,R41:R44)</f>
        <v>85540.579999999987</v>
      </c>
      <c r="S40" s="253"/>
      <c r="T40" s="250">
        <f>IF(SUBTOTAL(9,T41:T44)=0,"",SUBTOTAL(9,T41:T44))</f>
        <v>47322.302499999998</v>
      </c>
      <c r="U40" s="250">
        <f>IF(SUBTOTAL(9,U41:U44)=0,"",SUBTOTAL(9,U41:U44))</f>
        <v>47322.302499999998</v>
      </c>
      <c r="V40" s="250">
        <f>IF(SUBTOTAL(9,V41:V44)=0,"",SUBTOTAL(9,V41:V44))</f>
        <v>47322.302499999998</v>
      </c>
      <c r="W40" s="250">
        <f>IF(SUBTOTAL(9,W41:W44)=0,"",SUBTOTAL(9,W41:W44))</f>
        <v>47322.302499999998</v>
      </c>
      <c r="X40" s="251"/>
      <c r="Y40" s="247">
        <f>SUBTOTAL(9,Y41:Y44)</f>
        <v>189289.21</v>
      </c>
      <c r="Z40" s="242">
        <f>D40*1.2</f>
        <v>416883.80812503409</v>
      </c>
      <c r="AA40" s="242">
        <f>(K40+R40+Y40)</f>
        <v>378870.01751999999</v>
      </c>
      <c r="AB40" s="222">
        <f t="shared" si="1"/>
        <v>454644.02102399996</v>
      </c>
      <c r="AC40" s="24">
        <f>K40+R40+Y40</f>
        <v>378870.01751999999</v>
      </c>
      <c r="AD40" s="5">
        <f>AC40*1.2</f>
        <v>454644.02102399996</v>
      </c>
      <c r="AE40" s="5">
        <f>K40/1.03+R40/1.04/1.03+Y40/1.04/1.04/1.03</f>
        <v>350776.01978158206</v>
      </c>
      <c r="AF40" s="5">
        <f>AE40*1.2</f>
        <v>420931.22373789846</v>
      </c>
    </row>
    <row r="41" spans="1:32" s="18" customFormat="1" ht="40.5" customHeight="1" outlineLevel="1" x14ac:dyDescent="0.3">
      <c r="A41" s="25">
        <v>1</v>
      </c>
      <c r="B41" s="26" t="s">
        <v>26</v>
      </c>
      <c r="C41" s="160" t="s">
        <v>24</v>
      </c>
      <c r="D41" s="314">
        <f>K41/D47+R41/D48+Y41/D49</f>
        <v>258522.52944355938</v>
      </c>
      <c r="E41" s="67">
        <v>1</v>
      </c>
      <c r="F41" s="127">
        <f>K41*0.25</f>
        <v>17866.025000000001</v>
      </c>
      <c r="G41" s="127">
        <f>K41*0.25</f>
        <v>17866.025000000001</v>
      </c>
      <c r="H41" s="127">
        <f>K41*0.25</f>
        <v>17866.025000000001</v>
      </c>
      <c r="I41" s="127">
        <f>K41*0.25</f>
        <v>17866.025000000001</v>
      </c>
      <c r="J41" s="159"/>
      <c r="K41" s="161">
        <f>71464.1</f>
        <v>71464.100000000006</v>
      </c>
      <c r="L41" s="120">
        <v>1</v>
      </c>
      <c r="M41" s="127">
        <f>R41*0.25</f>
        <v>16388.849999999999</v>
      </c>
      <c r="N41" s="127">
        <f>R41*0.25</f>
        <v>16388.849999999999</v>
      </c>
      <c r="O41" s="127">
        <f>R41*0.25</f>
        <v>16388.849999999999</v>
      </c>
      <c r="P41" s="127">
        <f>R41*0.25</f>
        <v>16388.849999999999</v>
      </c>
      <c r="Q41" s="128"/>
      <c r="R41" s="129">
        <f>65555.4</f>
        <v>65555.399999999994</v>
      </c>
      <c r="S41" s="130">
        <v>1</v>
      </c>
      <c r="T41" s="127">
        <f>Y41*0.25</f>
        <v>36332.375</v>
      </c>
      <c r="U41" s="127">
        <f>Y41*0.25</f>
        <v>36332.375</v>
      </c>
      <c r="V41" s="127">
        <f>Y41*0.25</f>
        <v>36332.375</v>
      </c>
      <c r="W41" s="127">
        <f>Y41*0.25</f>
        <v>36332.375</v>
      </c>
      <c r="X41" s="128"/>
      <c r="Y41" s="230">
        <f>145329.5</f>
        <v>145329.5</v>
      </c>
      <c r="Z41" s="236"/>
      <c r="AA41" s="237"/>
      <c r="AB41" s="222">
        <f t="shared" si="1"/>
        <v>0</v>
      </c>
      <c r="AD41" s="18">
        <f>K40*1.2</f>
        <v>124848.27302399999</v>
      </c>
    </row>
    <row r="42" spans="1:32" s="18" customFormat="1" ht="78" customHeight="1" outlineLevel="1" x14ac:dyDescent="0.3">
      <c r="A42" s="287">
        <v>2</v>
      </c>
      <c r="B42" s="288" t="s">
        <v>23</v>
      </c>
      <c r="C42" s="131" t="s">
        <v>24</v>
      </c>
      <c r="D42" s="295">
        <f>K42/D47+R42/D48+Y42/D49</f>
        <v>78512.155993969034</v>
      </c>
      <c r="E42" s="153">
        <v>1</v>
      </c>
      <c r="F42" s="133">
        <f>K42*0.25</f>
        <v>5448.2250000000004</v>
      </c>
      <c r="G42" s="162">
        <f>K42*0.25</f>
        <v>5448.2250000000004</v>
      </c>
      <c r="H42" s="162">
        <f>K42*0.25</f>
        <v>5448.2250000000004</v>
      </c>
      <c r="I42" s="162">
        <f>K42*0.25</f>
        <v>5448.2250000000004</v>
      </c>
      <c r="J42" s="163"/>
      <c r="K42" s="292">
        <f>21792.9</f>
        <v>21792.9</v>
      </c>
      <c r="L42" s="136"/>
      <c r="M42" s="133">
        <f>R42*0.25</f>
        <v>4996.2950000000001</v>
      </c>
      <c r="N42" s="162">
        <f>R42*0.25</f>
        <v>4996.2950000000001</v>
      </c>
      <c r="O42" s="162">
        <f>R42*0.25</f>
        <v>4996.2950000000001</v>
      </c>
      <c r="P42" s="162">
        <f>R42*0.25</f>
        <v>4996.2950000000001</v>
      </c>
      <c r="Q42" s="311"/>
      <c r="R42" s="312">
        <f>19985.18</f>
        <v>19985.18</v>
      </c>
      <c r="S42" s="138">
        <v>1</v>
      </c>
      <c r="T42" s="133">
        <f>Y42*0.25</f>
        <v>10989.9275</v>
      </c>
      <c r="U42" s="162">
        <f>Y42*0.25</f>
        <v>10989.9275</v>
      </c>
      <c r="V42" s="162">
        <f>Y42*0.25</f>
        <v>10989.9275</v>
      </c>
      <c r="W42" s="162">
        <f>Y42*0.25</f>
        <v>10989.9275</v>
      </c>
      <c r="X42" s="311"/>
      <c r="Y42" s="313">
        <f>43959.71</f>
        <v>43959.71</v>
      </c>
      <c r="Z42" s="236"/>
      <c r="AA42" s="237"/>
      <c r="AB42" s="222"/>
    </row>
    <row r="43" spans="1:32" s="18" customFormat="1" ht="30" customHeight="1" outlineLevel="1" x14ac:dyDescent="0.3">
      <c r="A43" s="296">
        <v>3</v>
      </c>
      <c r="B43" s="297" t="s">
        <v>25</v>
      </c>
      <c r="C43" s="298" t="s">
        <v>24</v>
      </c>
      <c r="D43" s="300">
        <f>5618.488</f>
        <v>5618.4880000000003</v>
      </c>
      <c r="E43" s="299">
        <v>1</v>
      </c>
      <c r="F43" s="306">
        <f>E43*D43*D47</f>
        <v>5843.2275200000004</v>
      </c>
      <c r="G43" s="307"/>
      <c r="H43" s="298"/>
      <c r="I43" s="307"/>
      <c r="J43" s="301"/>
      <c r="K43" s="308">
        <f>SUM(F43:I43)</f>
        <v>5843.2275200000004</v>
      </c>
      <c r="L43" s="302"/>
      <c r="M43" s="306"/>
      <c r="N43" s="307"/>
      <c r="O43" s="298"/>
      <c r="P43" s="307"/>
      <c r="Q43" s="309"/>
      <c r="R43" s="303">
        <f>SUM(M43:P43)</f>
        <v>0</v>
      </c>
      <c r="S43" s="304"/>
      <c r="T43" s="306"/>
      <c r="U43" s="307"/>
      <c r="V43" s="298"/>
      <c r="W43" s="310"/>
      <c r="X43" s="309"/>
      <c r="Y43" s="305">
        <f>SUM(T43:W43)</f>
        <v>0</v>
      </c>
      <c r="Z43" s="236"/>
      <c r="AA43" s="237"/>
      <c r="AB43" s="222">
        <f t="shared" si="1"/>
        <v>0</v>
      </c>
      <c r="AD43" s="18">
        <f>R40*1.2</f>
        <v>102648.69599999998</v>
      </c>
      <c r="AE43" s="18">
        <f>K40/1.03</f>
        <v>101009.92963106796</v>
      </c>
      <c r="AF43" s="5">
        <f>AE43*1.2</f>
        <v>121211.91555728155</v>
      </c>
    </row>
    <row r="44" spans="1:32" s="18" customFormat="1" ht="26.25" customHeight="1" outlineLevel="1" x14ac:dyDescent="0.3">
      <c r="A44" s="125">
        <v>4</v>
      </c>
      <c r="B44" s="27" t="s">
        <v>66</v>
      </c>
      <c r="C44" s="131" t="s">
        <v>24</v>
      </c>
      <c r="D44" s="295">
        <f>4750</f>
        <v>4750</v>
      </c>
      <c r="E44" s="153">
        <v>1</v>
      </c>
      <c r="F44" s="134">
        <f>E44*D44*D47</f>
        <v>4940</v>
      </c>
      <c r="G44" s="162"/>
      <c r="H44" s="131"/>
      <c r="I44" s="162"/>
      <c r="J44" s="163"/>
      <c r="K44" s="126">
        <f>SUM(F44:I44)</f>
        <v>4940</v>
      </c>
      <c r="L44" s="136"/>
      <c r="M44" s="134"/>
      <c r="N44" s="162"/>
      <c r="O44" s="131"/>
      <c r="P44" s="162"/>
      <c r="Q44" s="164"/>
      <c r="R44" s="28">
        <f>SUM(M44:P44)</f>
        <v>0</v>
      </c>
      <c r="S44" s="138"/>
      <c r="T44" s="134"/>
      <c r="U44" s="162"/>
      <c r="V44" s="131"/>
      <c r="W44" s="165"/>
      <c r="X44" s="164"/>
      <c r="Y44" s="231">
        <f>SUM(T44:W44)</f>
        <v>0</v>
      </c>
      <c r="Z44" s="236"/>
      <c r="AA44" s="237"/>
      <c r="AB44" s="222">
        <f t="shared" si="1"/>
        <v>0</v>
      </c>
      <c r="AD44" s="18">
        <f>Y40*1.2</f>
        <v>227147.052</v>
      </c>
      <c r="AE44" s="18">
        <f>R40/1.03/1.04</f>
        <v>79854.910380881236</v>
      </c>
      <c r="AF44" s="5">
        <f>AE44*1.2</f>
        <v>95825.892457057475</v>
      </c>
    </row>
    <row r="46" spans="1:32" s="43" customFormat="1" x14ac:dyDescent="0.2">
      <c r="A46" s="5" t="s">
        <v>55</v>
      </c>
      <c r="B46" s="5"/>
      <c r="C46" s="5"/>
      <c r="D46" s="5"/>
      <c r="F46" s="45"/>
      <c r="G46" s="45"/>
      <c r="H46" s="45"/>
      <c r="I46" s="45"/>
      <c r="J46" s="83"/>
      <c r="K46" s="78"/>
      <c r="M46" s="45"/>
      <c r="N46" s="45"/>
      <c r="O46" s="45"/>
      <c r="P46" s="45"/>
      <c r="Q46" s="83"/>
      <c r="R46" s="45"/>
      <c r="T46" s="45"/>
      <c r="U46" s="45"/>
      <c r="V46" s="45"/>
      <c r="W46" s="45"/>
      <c r="X46" s="83"/>
      <c r="Y46" s="45"/>
      <c r="Z46" s="38"/>
      <c r="AA46" s="38"/>
      <c r="AB46" s="38"/>
    </row>
    <row r="47" spans="1:32" s="43" customFormat="1" x14ac:dyDescent="0.2">
      <c r="A47" s="5" t="s">
        <v>33</v>
      </c>
      <c r="B47" s="5"/>
      <c r="C47" s="5"/>
      <c r="D47" s="77">
        <v>1.04</v>
      </c>
      <c r="F47" s="77">
        <v>1.04</v>
      </c>
      <c r="G47" s="38"/>
      <c r="H47" s="45"/>
      <c r="I47" s="45"/>
      <c r="J47" s="83"/>
      <c r="K47" s="45"/>
      <c r="M47" s="45"/>
      <c r="N47" s="45"/>
      <c r="O47" s="45"/>
      <c r="P47" s="45"/>
      <c r="Q47" s="83"/>
      <c r="R47" s="45"/>
      <c r="T47" s="45"/>
      <c r="U47" s="45"/>
      <c r="V47" s="45"/>
      <c r="W47" s="45"/>
      <c r="X47" s="83"/>
      <c r="Y47" s="45"/>
      <c r="Z47" s="38"/>
      <c r="AA47" s="38"/>
      <c r="AB47" s="38"/>
    </row>
    <row r="48" spans="1:32" s="43" customFormat="1" x14ac:dyDescent="0.2">
      <c r="A48" s="5" t="s">
        <v>34</v>
      </c>
      <c r="B48" s="5"/>
      <c r="C48" s="5"/>
      <c r="D48" s="77">
        <f>D47*F47</f>
        <v>1.0816000000000001</v>
      </c>
      <c r="F48" s="77">
        <v>1.04</v>
      </c>
      <c r="G48" s="45"/>
      <c r="H48" s="45"/>
      <c r="I48" s="45"/>
      <c r="J48" s="83"/>
      <c r="K48" s="45"/>
      <c r="M48" s="45"/>
      <c r="N48" s="45"/>
      <c r="O48" s="45"/>
      <c r="P48" s="45"/>
      <c r="Q48" s="83"/>
      <c r="R48" s="45"/>
      <c r="T48" s="45"/>
      <c r="U48" s="45"/>
      <c r="V48" s="45"/>
      <c r="W48" s="45"/>
      <c r="X48" s="83"/>
      <c r="Y48" s="45"/>
      <c r="Z48" s="38"/>
      <c r="AA48" s="38"/>
      <c r="AB48" s="38"/>
    </row>
    <row r="49" spans="1:28" s="43" customFormat="1" x14ac:dyDescent="0.2">
      <c r="A49" s="5" t="s">
        <v>54</v>
      </c>
      <c r="B49" s="5"/>
      <c r="C49" s="5"/>
      <c r="D49" s="77">
        <f>D48*F48</f>
        <v>1.1248640000000001</v>
      </c>
      <c r="F49" s="77">
        <v>1.04</v>
      </c>
      <c r="G49" s="45"/>
      <c r="H49" s="45"/>
      <c r="I49" s="45"/>
      <c r="J49" s="83"/>
      <c r="K49" s="45"/>
      <c r="M49" s="45"/>
      <c r="N49" s="45"/>
      <c r="O49" s="45"/>
      <c r="P49" s="45"/>
      <c r="Q49" s="83"/>
      <c r="R49" s="45"/>
      <c r="T49" s="45"/>
      <c r="U49" s="45"/>
      <c r="V49" s="45"/>
      <c r="W49" s="45"/>
      <c r="X49" s="83"/>
      <c r="Y49" s="45"/>
      <c r="Z49" s="38"/>
      <c r="AA49" s="38"/>
      <c r="AB49" s="38"/>
    </row>
    <row r="50" spans="1:28" s="43" customFormat="1" x14ac:dyDescent="0.2">
      <c r="A50" s="23"/>
      <c r="B50" s="19"/>
      <c r="C50" s="5"/>
      <c r="D50" s="5"/>
      <c r="F50" s="45"/>
      <c r="G50" s="45"/>
      <c r="H50" s="45"/>
      <c r="I50" s="45"/>
      <c r="J50" s="83"/>
      <c r="K50" s="45"/>
      <c r="M50" s="45"/>
      <c r="N50" s="45"/>
      <c r="O50" s="45"/>
      <c r="P50" s="45"/>
      <c r="Q50" s="83"/>
      <c r="R50" s="45"/>
      <c r="T50" s="45"/>
      <c r="U50" s="45"/>
      <c r="V50" s="45"/>
      <c r="W50" s="45"/>
      <c r="X50" s="83"/>
      <c r="Y50" s="45"/>
      <c r="Z50" s="38"/>
      <c r="AA50" s="38"/>
      <c r="AB50" s="38"/>
    </row>
    <row r="51" spans="1:28" s="43" customFormat="1" x14ac:dyDescent="0.2">
      <c r="A51" s="23"/>
      <c r="B51" s="19"/>
      <c r="C51" s="5"/>
      <c r="D51" s="5"/>
      <c r="F51" s="45"/>
      <c r="G51" s="45"/>
      <c r="H51" s="45"/>
      <c r="I51" s="45"/>
      <c r="J51" s="255"/>
      <c r="K51" s="254"/>
      <c r="M51" s="45"/>
      <c r="N51" s="45"/>
      <c r="O51" s="45"/>
      <c r="P51" s="45"/>
      <c r="Q51" s="83"/>
      <c r="R51" s="45"/>
      <c r="T51" s="45"/>
      <c r="U51" s="45"/>
      <c r="V51" s="45"/>
      <c r="W51" s="45"/>
      <c r="X51" s="83"/>
      <c r="Y51" s="45"/>
      <c r="Z51" s="38"/>
      <c r="AA51" s="38"/>
      <c r="AB51" s="38"/>
    </row>
    <row r="52" spans="1:28" s="43" customFormat="1" x14ac:dyDescent="0.2">
      <c r="A52" s="23"/>
      <c r="B52" s="19"/>
      <c r="C52" s="5"/>
      <c r="D52" s="5"/>
      <c r="F52" s="45"/>
      <c r="G52" s="45"/>
      <c r="H52" s="45"/>
      <c r="I52" s="45"/>
      <c r="J52" s="83"/>
      <c r="K52" s="256"/>
      <c r="M52" s="45"/>
      <c r="N52" s="45"/>
      <c r="O52" s="45"/>
      <c r="P52" s="45"/>
      <c r="Q52" s="83"/>
      <c r="R52" s="45"/>
      <c r="T52" s="45"/>
      <c r="U52" s="45"/>
      <c r="V52" s="45"/>
      <c r="W52" s="45"/>
      <c r="X52" s="83"/>
      <c r="Y52" s="45"/>
      <c r="Z52" s="38"/>
      <c r="AA52" s="38"/>
      <c r="AB52" s="38"/>
    </row>
  </sheetData>
  <mergeCells count="15">
    <mergeCell ref="A2:Y2"/>
    <mergeCell ref="A4:B5"/>
    <mergeCell ref="C4:C5"/>
    <mergeCell ref="D4:D5"/>
    <mergeCell ref="E4:K4"/>
    <mergeCell ref="L4:R4"/>
    <mergeCell ref="S4:Y4"/>
    <mergeCell ref="A36:C36"/>
    <mergeCell ref="A40:C40"/>
    <mergeCell ref="A6:C6"/>
    <mergeCell ref="A7:C7"/>
    <mergeCell ref="A14:C14"/>
    <mergeCell ref="A22:C22"/>
    <mergeCell ref="A28:C28"/>
    <mergeCell ref="A32:C32"/>
  </mergeCells>
  <pageMargins left="0.45" right="0.48" top="0.78" bottom="0.47" header="0.72" footer="0.24"/>
  <pageSetup paperSize="9" scale="76" firstPageNumber="0" fitToHeight="0" orientation="landscape" r:id="rId1"/>
  <headerFooter alignWithMargins="0">
    <oddFooter>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ИП 22-24 (2)</vt:lpstr>
      <vt:lpstr>ИП 22-24</vt:lpstr>
      <vt:lpstr>'ИП 22-24'!Область_печати</vt:lpstr>
      <vt:lpstr>'ИП 22-24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И. Долгов</dc:creator>
  <cp:lastModifiedBy>Олег И. Долгов</cp:lastModifiedBy>
  <cp:lastPrinted>2021-04-13T10:19:53Z</cp:lastPrinted>
  <dcterms:created xsi:type="dcterms:W3CDTF">2018-04-11T11:58:59Z</dcterms:created>
  <dcterms:modified xsi:type="dcterms:W3CDTF">2021-10-13T10:49:50Z</dcterms:modified>
</cp:coreProperties>
</file>